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5112" windowHeight="7716" activeTab="0"/>
  </bookViews>
  <sheets>
    <sheet name="лист" sheetId="1" r:id="rId1"/>
    <sheet name="напрямки" sheetId="2" r:id="rId2"/>
    <sheet name="зп" sheetId="3" r:id="rId3"/>
  </sheets>
  <definedNames>
    <definedName name="_xlfn.AGGREGATE" hidden="1">#NAME?</definedName>
    <definedName name="_xlnm.Print_Titles" localSheetId="0">'лист'!$6:$8</definedName>
    <definedName name="_xlnm.Print_Area" localSheetId="0">'лист'!$A$1:$H$142</definedName>
  </definedNames>
  <calcPr fullCalcOnLoad="1"/>
</workbook>
</file>

<file path=xl/sharedStrings.xml><?xml version="1.0" encoding="utf-8"?>
<sst xmlns="http://schemas.openxmlformats.org/spreadsheetml/2006/main" count="287" uniqueCount="203">
  <si>
    <t>Назва напрямків</t>
  </si>
  <si>
    <t>Разом  видатків на поточний рік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</si>
  <si>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</si>
  <si>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</si>
  <si>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</si>
  <si>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</si>
  <si>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</si>
  <si>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</si>
  <si>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</si>
  <si>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</si>
  <si>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ВСЬОГО ВИДАТКІВ</t>
  </si>
  <si>
    <t>Поточний ремонт та утримання технічних засобів регулювання дорожнього руху</t>
  </si>
  <si>
    <t>Загальний фонд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</si>
  <si>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</si>
  <si>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</si>
  <si>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</si>
  <si>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</si>
  <si>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</si>
  <si>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</si>
  <si>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</si>
  <si>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</si>
  <si>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</si>
  <si>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</si>
  <si>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</si>
  <si>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об'єктів вулично-дорожньої мережі)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</si>
  <si>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</si>
  <si>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</si>
  <si>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</si>
  <si>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 вул.Гоголя (тротуар, парна сторона від вул.Митницької до вул.Небесної Сотні)</t>
  </si>
  <si>
    <t>Капітальний ремонт вул. Крилова (тротуар, парна сторона від вул. Надпільна до вул. І.Гонти)</t>
  </si>
  <si>
    <t>Капітальний ремонт вул. Університетська (тротуар, непарна сторона, від вул. Надпільна до вул. І. Гонти)</t>
  </si>
  <si>
    <t xml:space="preserve">Капітальний ремонт провулку Рибальський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</si>
  <si>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</si>
  <si>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</si>
  <si>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</si>
  <si>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</si>
  <si>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</si>
  <si>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>Реконструкція вул. Бидгощська (тротуар, парна сторона, від вул. С. Кішки до вул. Пастерівська)</t>
  </si>
  <si>
    <t>Реконструкція вул. Гагаріна (від парку  Сосновий Бір  до узвозу Франка) в м. Черкаси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</si>
  <si>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</si>
  <si>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</si>
  <si>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Капітальний ремонт внутрішньоквартального проїзду від вул. Волкова, 103 до вул. Амброса, 12 м. 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</si>
  <si>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</si>
  <si>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</si>
  <si>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</si>
  <si>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бульв. Шевченка (тротуари від вул. Припортова до вул. Добровольського),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</si>
  <si>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</si>
  <si>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вул.Сумгаїтська (від вул.Одеська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</si>
  <si>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</si>
  <si>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</si>
  <si>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вул. Героїв Дніпра  (від вул. Сержанта Смірнова до вул. Козацька), в м. Черкаси</t>
  </si>
  <si>
    <t>Реконструкція вул. Ільїна (від вул. Чорновола до вул. Пацаєва) (І черга)</t>
  </si>
  <si>
    <t>Реконструкція вул. Самійла Кішки від вул. Бидгощська до пр-т Хіміків м. Черкаси (виготовлення ПКД)</t>
  </si>
  <si>
    <t>Реконструкція вул. Чехова від вул. Нижня Горова до вул. Гетьмана Сагайдачного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</si>
  <si>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</si>
  <si>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</si>
  <si>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</si>
  <si>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вул.Квіткова від вул.Сумгаїтської до вул.Хоменко</t>
  </si>
  <si>
    <t>Будівництво набережної між вул. Козацька та вул. С. Смірнова м. Черкаси (виготовлення ПКД)</t>
  </si>
  <si>
    <t>Використання коштів,</t>
  </si>
  <si>
    <t xml:space="preserve">  передбачених на проведення робіт, пов'язаних із будівництвом, реконструкцією, ремонтом та утриманням автомобільних доріг у 2020 році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</si>
  <si>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</si>
  <si>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</si>
  <si>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</si>
  <si>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</si>
  <si>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</si>
  <si>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</si>
  <si>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</si>
  <si>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</si>
  <si>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</si>
  <si>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</si>
  <si>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</si>
  <si>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</si>
  <si>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Відсоток виконання до річного плану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</si>
  <si>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</si>
  <si>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буд. № 1 по вул. Десантників до житлового будинку № 23 по вул. Вернигори</t>
  </si>
  <si>
    <t>Капітальний ремонт міжквартального проїзду від вул. Чехова до вул. Юрія Іллєнка, 11</t>
  </si>
  <si>
    <t>Капітальний ремонт міжквартального проїзду від вулиці Хоменка до житлового будинку № 1 по вул. Десантників в м.Черкаси (включаючи під'їзд до ДНЗ № 89 "Котигорошко" між будинками № 18 та 18/1 по вул.Хоменка)</t>
  </si>
  <si>
    <t>Капітальний ремонт пішохідної алеї від вул. Героїв Дніпра вздовж житловго будинку № 51 до ЗОШ НВК № 34</t>
  </si>
  <si>
    <t>Капітальний  ремонт пішохідної алеї від вул.Героїв Дніпра вздовж житлового будинку №69 до ДНЗ №34</t>
  </si>
  <si>
    <t>Капітальний ремонт пішохідної алеї від ж/б Генерала Момота 3 до вул. Смаглія (між "Черкаським професійним автодорожнім ліцеєм" та ВПУ ім. Г.Ф. Короленка)</t>
  </si>
  <si>
    <t>Капітальний ремонт пішохідної доріжки по периметру дитячого спортивного комплексу прибудинкової території ж/б № 1, 3, 5, 7 по вул. Генерала Момота</t>
  </si>
  <si>
    <t>Капітальний ремонт пішохідної алеї від вул.Гетьмана Сагайдачного 237 до вул. Подолинського 24</t>
  </si>
  <si>
    <t>Капітальний ремонт пішохідної алеї від ж/б 243 до ж/б № 239 по вул. Г. Сагайдачного в м. Черкаси</t>
  </si>
  <si>
    <t>Капітальний ремонт пішохідної алеї від ж/б № 231 до ж/б № 237 по вул. Г. Сагайдачного в м. Черкаси</t>
  </si>
  <si>
    <t>Капітальний ремонт пішохідної алеї від вул. Г. Сагайдачного до ж/б № 168 м. Черкаси</t>
  </si>
  <si>
    <t>Капітальний ремонт пішохідної алеї від вул. Кобзарська до вул. Берегова</t>
  </si>
  <si>
    <t>Капітальний ремонт пішохідної алеї від ж/б № 24 по вул. Подолинського до ДНЗ № 60 в м. Черкаси</t>
  </si>
  <si>
    <t>Капітальний ремонт пішохідної алеї від ж/б № 2 по вул.С.Смірнова до вул.Гагаріна вздовж ж/б № 49 по вул.Г.Дніпра в м. Черкаси</t>
  </si>
  <si>
    <t>Капітальний ремонт пішохідної алеї по вул. Хрещатик (непарна сторона, від вул. Університетська до вул. Крилова)</t>
  </si>
  <si>
    <t xml:space="preserve">Капітальний ремонт вул. Благовісна (тротуар, непарна сторона від вул. Митницька до вул. Небесної Сотні) </t>
  </si>
  <si>
    <t xml:space="preserve">Капітальний ремонт вул. Благовісна (тротуар, парна сторона, від вул. Митницька до вул. Небесної Сотні) </t>
  </si>
  <si>
    <t>Капітальний ремонт вул. Вернигори (тротуар, непарна сторона від вул. Смілянська до житлового будинку № 21 по вул. Вернигори)</t>
  </si>
  <si>
    <t xml:space="preserve">Капітальний ремонт вул. Гоголя (тротуар, парна сторона, від вул. В.Чорновола до вул. Ю.Іллєнка) в м. Черкаси </t>
  </si>
  <si>
    <t>Капітальний ремонт вул. Іллєнка (тротуар, парна сторона, непарна сторона, від вул. Амброса до вул. Толстого)</t>
  </si>
  <si>
    <t>Капітальний ремонт вул. Надпільна (тротуар, непарна сторона, від вул. Пастерівська до вул. Кривалівська)</t>
  </si>
  <si>
    <t>Капітальний ремонт вул. Нарбутівська (тротуар, парна сторона, від вул. Cемеренківська до вул. Подолинського) в м. Черкаси</t>
  </si>
  <si>
    <t>Капітальний ремонт вул. Новопричистенська (тротуар, парна сторона, від вул.Гоголя до вул.Благовісна)</t>
  </si>
  <si>
    <t>Капітальний ремонт вул. Онопрієнка (тротуар, непарна сторона, від вул. Смаглія до ж/б № 1 по вул.Генерала Момота)</t>
  </si>
  <si>
    <t>Капітальний ремонт вул. Пахарів Хутір (тротуар, непарна сторона, від вул. М. Старицького до санаторію "Пролісок")</t>
  </si>
  <si>
    <t>Капітальний ремонт вул. Пацаєва (тротуару від житлового будинку 14 до будинку 24 по вул. Пацаєва)</t>
  </si>
  <si>
    <t>Капітальний ремонт вул. Смаглія (тротуар, парна сторона, від вул. Онопрієнка до вул. О. Панченка)</t>
  </si>
  <si>
    <t xml:space="preserve">Капітальний ремонт вул. Смілянської (тротуар, парна сторона, від вул. Вернигори до вул. Хоменка) в м. Черкаси </t>
  </si>
  <si>
    <t>Капітальний ремонт вул. Смілянська (тротуар, парна сторона від залізничного мосту до вул. Вернигори)</t>
  </si>
  <si>
    <t>Капітальний ремонт вул. Хрещатик (тротуар, паркувальний майданчик, непарна сторона) від вул. Франка до вул. Пушкіна</t>
  </si>
  <si>
    <t>Капітальний ремонт пров. Поштовий в м.Черкаси</t>
  </si>
  <si>
    <t>Капітальний ремонт вул. Весела в м.Черкаси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</si>
  <si>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</si>
  <si>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вул. Максима Кривоноса (від вул. Героїв Чорнобиля до вул. Крилова)</t>
  </si>
  <si>
    <t>Капітальний ремонт вул. Пацаєва (встановлення світлофору біля ЗОШ № 14) в м. Черкаси</t>
  </si>
  <si>
    <t>Капітальний ремонт вул. Університетська (парна сторона, від вул. Надпільна до вул. І. Гонти)</t>
  </si>
  <si>
    <t xml:space="preserve">Реконструкція вул. С. Кішки (тротуар, парна сторона, від вул. Бидгощська до вул. Чайковського) </t>
  </si>
  <si>
    <t>Реконструкція вул. Генерела Момота (перехрестя з вулицями Онопрієнка, Лісова Просіка)</t>
  </si>
  <si>
    <t>Реконструкція вул. Смаглія</t>
  </si>
  <si>
    <t xml:space="preserve">Капітальний  ремонт внутрішньоквартального проїзду вул. Благовісна буд.330; буд. 332  </t>
  </si>
  <si>
    <t>Капітальний ремонт внутрішньоквартального проїзду від  вул. Різдвяна, 62 до вул. Благовісна, 455 в м. Черкаси</t>
  </si>
  <si>
    <t>Капітальний ремонт внутрішньоквартального проїзду вул. Різдвяна буд. 9 до вул. Ю. Іллєнка  буд. 22 в м. Черкаси</t>
  </si>
  <si>
    <t>Капітальний ремонт внутрішньоквартального проїзду вул. Чехова 82, Нарбутівська 187 в м. Черкаси</t>
  </si>
  <si>
    <t>Капітальний ремонт внутрішньоквартального проїзду вул. Чехова 54,56 від вул. Чехова до вул. Гоголя м. Черкаси</t>
  </si>
  <si>
    <t xml:space="preserve">Капітальний ремонт вул.Пилипенка (тротуар парна сторона) від вул. Пастерівської до вул. М.Залізняка, м. Черкаси </t>
  </si>
  <si>
    <t xml:space="preserve">Капітальний ремонт вул. Нарбутівська від вул. Ю. Іллєнка до вул.  Різдвяна м. Черкаси </t>
  </si>
  <si>
    <t>Капітальний ремонт вул. Ю. Іллєнка від вул. Нарбутівська до вул. Нижня Горова  в м. Черкаси (виготовлення ПКД)</t>
  </si>
  <si>
    <t>Реконструкція вул. Б. Вишневецького (тротуар) від вул. Хрещатик до Замкового узвозу, м. Черкаси</t>
  </si>
  <si>
    <t>Реконструкція сходів з вулиці Верхня Горова до вул. Гагаріна (біля Саду мрій)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</si>
  <si>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</si>
  <si>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</si>
  <si>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вул.Добровольського від бул.Шевченка до вул.Сагайдачного м.Черкаси (виготовлення ПКД)</t>
  </si>
  <si>
    <t>Реконструкція вул.Козацька від вул. Г. Дніпра до набережної м.Черкаси  (виготовлення ПКД)</t>
  </si>
  <si>
    <t xml:space="preserve">Реконструкція вул. Менделєєва від вул. Санаторної до вул. Я. Галана </t>
  </si>
  <si>
    <t xml:space="preserve">Реконструкція вул. Різдвяна від вул. Толстого до вул. Нарбутівська м. Черкаси </t>
  </si>
  <si>
    <t>Реконструкція вул. Сержанта Жужоми (від вул. Гагаріна до вул. Героїв Дніпра) в м. Черкаси</t>
  </si>
  <si>
    <t>Реконструкція вул.Сумгаїтської від межі міста до вул. Одеської</t>
  </si>
  <si>
    <t>Реконструкція вул.Чайковського від вул.Максима Залізняка до вул.Вячеслава Чорновола м.Черкаси (виготовлення ПКД)</t>
  </si>
  <si>
    <t xml:space="preserve">Реконструкція із застосуванням щебенево-мастичного асфальтобетону вул. Енгельса від бульв. Шевченка до вул. Бидгощської </t>
  </si>
  <si>
    <t xml:space="preserve">Реконструкція із застосуванням щебенево-мастичного асфальтобетону вул. Смілянської від вул. Фрунзе до вул. 30- річчя Перемоги </t>
  </si>
  <si>
    <t>Реконструкція із застосуванням щебенево-мастичного асфальтобетону вул. Хрещатик від вул. Котовського до вул. Леніна</t>
  </si>
  <si>
    <t>Найменування</t>
  </si>
  <si>
    <t>в тому числі:</t>
  </si>
  <si>
    <t>з них:</t>
  </si>
  <si>
    <t xml:space="preserve">заробітня плата </t>
  </si>
  <si>
    <t>нарахування на заробітню плату</t>
  </si>
  <si>
    <t>предмети, матеріаи, обладнання та інвентар</t>
  </si>
  <si>
    <t>послуги сторонніх організацій</t>
  </si>
  <si>
    <t>оплата інших енергоносіїв та інших комунальних послуг</t>
  </si>
  <si>
    <t>предмети, матеріали, обладнання та інвентар</t>
  </si>
  <si>
    <t>разом</t>
  </si>
  <si>
    <t>Терміновий (позаплановий) поточний ремонт та утримання об’єктів вулично-дорожньої мережі, в т.ч.:</t>
  </si>
  <si>
    <t>ремонт дорожнього покриття</t>
  </si>
  <si>
    <t>ремонт пішохідних тротуарів</t>
  </si>
  <si>
    <t>ремонт внутрішньо-квартальних проїздів</t>
  </si>
  <si>
    <t>поточний ремонт та утримання мереж зливової каналізації</t>
  </si>
  <si>
    <t>нанесення розмітки проїзної частини міста</t>
  </si>
  <si>
    <t xml:space="preserve">поточний ремонт та утримання технічних засобів організації дорожнього руху 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</si>
  <si>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 малих архітектурних форм, зупинок громадського транспорту, інвентаризація  та паспортизація дорожнього господарства), в т.ч.:</t>
  </si>
  <si>
    <t>зимове та літнє утримання доріг</t>
  </si>
  <si>
    <t>інвентаризація  та паспортизація дорожнього господарства</t>
  </si>
  <si>
    <t>поточний ремонт та утримання штучних споруд малих архітектурних форм, зупинок громадського транспорту</t>
  </si>
  <si>
    <t>Фінансова підтримка  КП "ЧЕЛУАШ" на 2020 рік в розрізі напрямків</t>
  </si>
  <si>
    <t>План 2020 року</t>
  </si>
  <si>
    <t>КП "ЧЕЛУАШ"</t>
  </si>
  <si>
    <t xml:space="preserve">липень </t>
  </si>
  <si>
    <t>Залишок призначень</t>
  </si>
  <si>
    <t>план використання коштів</t>
  </si>
  <si>
    <t>зп</t>
  </si>
  <si>
    <t>нарах</t>
  </si>
  <si>
    <t>фактично сплачено</t>
  </si>
  <si>
    <t>разом, в т.ч.</t>
  </si>
  <si>
    <t>аванс</t>
  </si>
  <si>
    <t>з/п</t>
  </si>
  <si>
    <t>відпускні</t>
  </si>
  <si>
    <t xml:space="preserve">розрахункові </t>
  </si>
  <si>
    <t>З/п з нарахуваннями (по датам)</t>
  </si>
  <si>
    <t>січень:</t>
  </si>
  <si>
    <t>розрахункові</t>
  </si>
  <si>
    <t>лютий:</t>
  </si>
  <si>
    <t>березень:</t>
  </si>
  <si>
    <t>квітень:</t>
  </si>
  <si>
    <t>РАЗОМ</t>
  </si>
  <si>
    <t>розрахункові, відпускні</t>
  </si>
  <si>
    <t>.04.20</t>
  </si>
  <si>
    <t>.05.20</t>
  </si>
  <si>
    <t>.06.20</t>
  </si>
  <si>
    <t>.07.20</t>
  </si>
  <si>
    <t>.08.20</t>
  </si>
  <si>
    <t>.09.20</t>
  </si>
  <si>
    <t>.10.20</t>
  </si>
  <si>
    <t>.11.20</t>
  </si>
  <si>
    <t>.12.20</t>
  </si>
  <si>
    <t>Реконструкція вул. Гагаріна від вул. С.Жужоми до вул. С.Смірнова м. Черкаси</t>
  </si>
  <si>
    <t>Капітальний ремонт вул. Десантників (тротуар, парна, непарна сторона) від  вул. Вернигори до вул. Хоменка</t>
  </si>
  <si>
    <t>Капітальний ремонт вул. Гоголя (тротуар, парна та непарна сторона, від вул. Казбетська до вул. Крилова)</t>
  </si>
  <si>
    <t>Реконструкція бул. Шевченка від вул. Лазарєва до вул. Б.Вишневецького м. Черкаси</t>
  </si>
  <si>
    <t>Капітальний ремонт бульв. Шевченка від вул. Університетської до вул. Можайського</t>
  </si>
  <si>
    <t>Реконструкція вул. Новопречистенська від вул. Гетьмана Сагайдачного до вул. С. Амброса в м. Черкаси (виготовлення ПКД)</t>
  </si>
  <si>
    <t>Капітальний ремонт  внутрішньоквартального проїзду по вул. Гетьмана Сагайдачного  від буд. 243 до  вул. Подолинського, 24 м. Черкаси</t>
  </si>
  <si>
    <t>план на рік</t>
  </si>
  <si>
    <t>профін</t>
  </si>
  <si>
    <t>план на період</t>
  </si>
  <si>
    <t>07,24.02.2020</t>
  </si>
  <si>
    <t>відпускні, розрахункові</t>
  </si>
  <si>
    <t>05,17,23.03.2020</t>
  </si>
  <si>
    <t>Профінансовано станом на 29.04.2020</t>
  </si>
  <si>
    <t>Профінансовано на 30.04.2020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</si>
</sst>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11"/>
      <name val="Times New Roman"/>
      <family val="1"/>
    </font>
    <font>
      <i/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9" fillId="0" borderId="13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111" applyFont="1">
      <alignment/>
      <protection/>
    </xf>
    <xf numFmtId="0" fontId="27" fillId="0" borderId="0" xfId="111" applyFont="1">
      <alignment/>
      <protection/>
    </xf>
    <xf numFmtId="0" fontId="30" fillId="0" borderId="0" xfId="111" applyFont="1" applyAlignment="1">
      <alignment horizontal="center" wrapText="1"/>
      <protection/>
    </xf>
    <xf numFmtId="0" fontId="30" fillId="52" borderId="14" xfId="111" applyFont="1" applyFill="1" applyBorder="1" applyAlignment="1">
      <alignment horizontal="center"/>
      <protection/>
    </xf>
    <xf numFmtId="0" fontId="30" fillId="52" borderId="14" xfId="111" applyFont="1" applyFill="1" applyBorder="1" applyAlignment="1">
      <alignment horizontal="left" wrapText="1"/>
      <protection/>
    </xf>
    <xf numFmtId="4" fontId="30" fillId="52" borderId="14" xfId="130" applyNumberFormat="1" applyFont="1" applyFill="1" applyBorder="1" applyAlignment="1">
      <alignment horizontal="center" vertical="center"/>
    </xf>
    <xf numFmtId="49" fontId="31" fillId="0" borderId="14" xfId="111" applyNumberFormat="1" applyFont="1" applyFill="1" applyBorder="1" applyAlignment="1">
      <alignment horizontal="center" vertical="center" wrapText="1"/>
      <protection/>
    </xf>
    <xf numFmtId="0" fontId="0" fillId="0" borderId="0" xfId="111" applyFont="1" applyAlignment="1">
      <alignment horizontal="center"/>
      <protection/>
    </xf>
    <xf numFmtId="0" fontId="27" fillId="0" borderId="0" xfId="111" applyFont="1" applyAlignment="1">
      <alignment horizontal="right"/>
      <protection/>
    </xf>
    <xf numFmtId="0" fontId="0" fillId="0" borderId="14" xfId="111" applyFont="1" applyBorder="1">
      <alignment/>
      <protection/>
    </xf>
    <xf numFmtId="0" fontId="27" fillId="0" borderId="14" xfId="111" applyFont="1" applyBorder="1" applyAlignment="1">
      <alignment horizontal="center"/>
      <protection/>
    </xf>
    <xf numFmtId="0" fontId="4" fillId="0" borderId="0" xfId="111" applyFont="1">
      <alignment/>
      <protection/>
    </xf>
    <xf numFmtId="0" fontId="31" fillId="0" borderId="14" xfId="111" applyFont="1" applyFill="1" applyBorder="1" applyAlignment="1">
      <alignment horizontal="left" wrapText="1"/>
      <protection/>
    </xf>
    <xf numFmtId="4" fontId="31" fillId="0" borderId="14" xfId="106" applyNumberFormat="1" applyFont="1" applyFill="1" applyBorder="1" applyAlignment="1">
      <alignment horizontal="center"/>
      <protection/>
    </xf>
    <xf numFmtId="0" fontId="0" fillId="0" borderId="0" xfId="111" applyFont="1" applyFill="1">
      <alignment/>
      <protection/>
    </xf>
    <xf numFmtId="0" fontId="33" fillId="0" borderId="14" xfId="111" applyFont="1" applyFill="1" applyBorder="1" applyAlignment="1">
      <alignment horizontal="left" wrapText="1"/>
      <protection/>
    </xf>
    <xf numFmtId="4" fontId="33" fillId="0" borderId="14" xfId="106" applyNumberFormat="1" applyFont="1" applyFill="1" applyBorder="1" applyAlignment="1">
      <alignment horizontal="center"/>
      <protection/>
    </xf>
    <xf numFmtId="16" fontId="30" fillId="52" borderId="14" xfId="111" applyNumberFormat="1" applyFont="1" applyFill="1" applyBorder="1" applyAlignment="1">
      <alignment horizontal="center"/>
      <protection/>
    </xf>
    <xf numFmtId="0" fontId="30" fillId="52" borderId="14" xfId="111" applyFont="1" applyFill="1" applyBorder="1" applyAlignment="1">
      <alignment horizontal="center" vertical="center" wrapText="1"/>
      <protection/>
    </xf>
    <xf numFmtId="0" fontId="29" fillId="0" borderId="0" xfId="111" applyFont="1" applyAlignment="1">
      <alignment horizontal="center" wrapText="1"/>
      <protection/>
    </xf>
    <xf numFmtId="49" fontId="33" fillId="0" borderId="14" xfId="111" applyNumberFormat="1" applyFont="1" applyFill="1" applyBorder="1" applyAlignment="1">
      <alignment horizontal="center" vertical="center" wrapText="1"/>
      <protection/>
    </xf>
    <xf numFmtId="0" fontId="33" fillId="0" borderId="14" xfId="0" applyFont="1" applyFill="1" applyBorder="1" applyAlignment="1">
      <alignment vertical="top" wrapText="1"/>
    </xf>
    <xf numFmtId="0" fontId="34" fillId="0" borderId="0" xfId="111" applyFont="1">
      <alignment/>
      <protection/>
    </xf>
    <xf numFmtId="49" fontId="35" fillId="0" borderId="14" xfId="111" applyNumberFormat="1" applyFont="1" applyFill="1" applyBorder="1" applyAlignment="1">
      <alignment horizontal="center" vertical="center" wrapText="1"/>
      <protection/>
    </xf>
    <xf numFmtId="0" fontId="35" fillId="0" borderId="14" xfId="0" applyFont="1" applyFill="1" applyBorder="1" applyAlignment="1">
      <alignment vertical="top" wrapText="1"/>
    </xf>
    <xf numFmtId="4" fontId="35" fillId="0" borderId="14" xfId="106" applyNumberFormat="1" applyFont="1" applyFill="1" applyBorder="1" applyAlignment="1">
      <alignment horizontal="center"/>
      <protection/>
    </xf>
    <xf numFmtId="0" fontId="5" fillId="0" borderId="0" xfId="111" applyFont="1">
      <alignment/>
      <protection/>
    </xf>
    <xf numFmtId="0" fontId="0" fillId="0" borderId="14" xfId="111" applyFont="1" applyFill="1" applyBorder="1">
      <alignment/>
      <protection/>
    </xf>
    <xf numFmtId="0" fontId="34" fillId="0" borderId="14" xfId="111" applyFont="1" applyBorder="1">
      <alignment/>
      <protection/>
    </xf>
    <xf numFmtId="0" fontId="20" fillId="0" borderId="14" xfId="106" applyFont="1" applyBorder="1" applyAlignment="1">
      <alignment horizontal="center" vertical="center" wrapText="1"/>
      <protection/>
    </xf>
    <xf numFmtId="0" fontId="30" fillId="0" borderId="14" xfId="111" applyFont="1" applyFill="1" applyBorder="1" applyAlignment="1">
      <alignment horizontal="center" wrapText="1"/>
      <protection/>
    </xf>
    <xf numFmtId="4" fontId="30" fillId="0" borderId="14" xfId="106" applyNumberFormat="1" applyFont="1" applyFill="1" applyBorder="1" applyAlignment="1">
      <alignment horizontal="center"/>
      <protection/>
    </xf>
    <xf numFmtId="0" fontId="30" fillId="0" borderId="14" xfId="111" applyFont="1" applyFill="1" applyBorder="1" applyAlignment="1">
      <alignment horizontal="center"/>
      <protection/>
    </xf>
    <xf numFmtId="0" fontId="34" fillId="0" borderId="0" xfId="111" applyFont="1" applyFill="1">
      <alignment/>
      <protection/>
    </xf>
    <xf numFmtId="4" fontId="30" fillId="0" borderId="14" xfId="130" applyNumberFormat="1" applyFont="1" applyFill="1" applyBorder="1" applyAlignment="1">
      <alignment horizontal="center" vertical="center"/>
    </xf>
    <xf numFmtId="16" fontId="30" fillId="53" borderId="0" xfId="111" applyNumberFormat="1" applyFont="1" applyFill="1" applyBorder="1" applyAlignment="1">
      <alignment horizontal="center"/>
      <protection/>
    </xf>
    <xf numFmtId="0" fontId="36" fillId="53" borderId="0" xfId="111" applyFont="1" applyFill="1" applyBorder="1" applyAlignment="1">
      <alignment horizontal="center" vertical="center" wrapText="1"/>
      <protection/>
    </xf>
    <xf numFmtId="4" fontId="30" fillId="53" borderId="0" xfId="130" applyNumberFormat="1" applyFont="1" applyFill="1" applyBorder="1" applyAlignment="1">
      <alignment horizontal="center" vertical="center"/>
    </xf>
    <xf numFmtId="49" fontId="31" fillId="0" borderId="0" xfId="111" applyNumberFormat="1" applyFont="1" applyFill="1" applyBorder="1" applyAlignment="1">
      <alignment horizontal="center" vertical="center" wrapText="1"/>
      <protection/>
    </xf>
    <xf numFmtId="0" fontId="31" fillId="0" borderId="0" xfId="111" applyFont="1">
      <alignment/>
      <protection/>
    </xf>
    <xf numFmtId="0" fontId="31" fillId="0" borderId="0" xfId="111" applyFont="1" applyBorder="1" applyAlignment="1">
      <alignment vertical="top" wrapText="1"/>
      <protection/>
    </xf>
    <xf numFmtId="190" fontId="32" fillId="0" borderId="0" xfId="130" applyNumberFormat="1" applyFont="1" applyFill="1" applyBorder="1" applyAlignment="1">
      <alignment horizontal="center" vertical="center" wrapText="1"/>
    </xf>
    <xf numFmtId="0" fontId="30" fillId="54" borderId="14" xfId="111" applyFont="1" applyFill="1" applyBorder="1" applyAlignment="1">
      <alignment horizontal="center"/>
      <protection/>
    </xf>
    <xf numFmtId="4" fontId="30" fillId="54" borderId="14" xfId="130" applyNumberFormat="1" applyFont="1" applyFill="1" applyBorder="1" applyAlignment="1">
      <alignment horizontal="center" vertical="center"/>
    </xf>
    <xf numFmtId="0" fontId="30" fillId="0" borderId="15" xfId="111" applyFont="1" applyFill="1" applyBorder="1" applyAlignment="1">
      <alignment horizontal="center" wrapText="1"/>
      <protection/>
    </xf>
    <xf numFmtId="0" fontId="30" fillId="0" borderId="16" xfId="111" applyFont="1" applyFill="1" applyBorder="1" applyAlignment="1">
      <alignment horizontal="center" wrapText="1"/>
      <protection/>
    </xf>
    <xf numFmtId="0" fontId="0" fillId="0" borderId="15" xfId="111" applyFont="1" applyBorder="1">
      <alignment/>
      <protection/>
    </xf>
    <xf numFmtId="0" fontId="0" fillId="0" borderId="15" xfId="111" applyFont="1" applyFill="1" applyBorder="1">
      <alignment/>
      <protection/>
    </xf>
    <xf numFmtId="0" fontId="34" fillId="0" borderId="15" xfId="111" applyFont="1" applyBorder="1">
      <alignment/>
      <protection/>
    </xf>
    <xf numFmtId="4" fontId="30" fillId="0" borderId="15" xfId="106" applyNumberFormat="1" applyFont="1" applyFill="1" applyBorder="1" applyAlignment="1">
      <alignment horizontal="center"/>
      <protection/>
    </xf>
    <xf numFmtId="4" fontId="31" fillId="0" borderId="15" xfId="106" applyNumberFormat="1" applyFont="1" applyFill="1" applyBorder="1" applyAlignment="1">
      <alignment horizontal="center"/>
      <protection/>
    </xf>
    <xf numFmtId="4" fontId="30" fillId="54" borderId="15" xfId="130" applyNumberFormat="1" applyFont="1" applyFill="1" applyBorder="1" applyAlignment="1">
      <alignment horizontal="center" vertical="center"/>
    </xf>
    <xf numFmtId="4" fontId="30" fillId="0" borderId="15" xfId="130" applyNumberFormat="1" applyFont="1" applyFill="1" applyBorder="1" applyAlignment="1">
      <alignment horizontal="center" vertical="center"/>
    </xf>
    <xf numFmtId="4" fontId="31" fillId="53" borderId="14" xfId="111" applyNumberFormat="1" applyFont="1" applyFill="1" applyBorder="1" applyAlignment="1">
      <alignment horizontal="center"/>
      <protection/>
    </xf>
    <xf numFmtId="4" fontId="0" fillId="0" borderId="0" xfId="111" applyNumberFormat="1" applyFont="1">
      <alignment/>
      <protection/>
    </xf>
    <xf numFmtId="4" fontId="31" fillId="54" borderId="14" xfId="106" applyNumberFormat="1" applyFont="1" applyFill="1" applyBorder="1" applyAlignment="1">
      <alignment horizontal="center"/>
      <protection/>
    </xf>
    <xf numFmtId="0" fontId="30" fillId="0" borderId="15" xfId="111" applyFont="1" applyBorder="1" applyAlignment="1">
      <alignment wrapText="1"/>
      <protection/>
    </xf>
    <xf numFmtId="0" fontId="30" fillId="0" borderId="17" xfId="111" applyFont="1" applyBorder="1" applyAlignment="1">
      <alignment wrapText="1"/>
      <protection/>
    </xf>
    <xf numFmtId="0" fontId="30" fillId="0" borderId="15" xfId="111" applyFont="1" applyFill="1" applyBorder="1" applyAlignment="1">
      <alignment wrapText="1"/>
      <protection/>
    </xf>
    <xf numFmtId="0" fontId="30" fillId="0" borderId="17" xfId="111" applyFont="1" applyFill="1" applyBorder="1" applyAlignment="1">
      <alignment wrapText="1"/>
      <protection/>
    </xf>
    <xf numFmtId="0" fontId="30" fillId="0" borderId="15" xfId="111" applyFont="1" applyBorder="1" applyAlignment="1">
      <alignment horizontal="center" wrapText="1"/>
      <protection/>
    </xf>
    <xf numFmtId="0" fontId="30" fillId="0" borderId="17" xfId="111" applyFont="1" applyBorder="1" applyAlignment="1">
      <alignment horizontal="center" wrapText="1"/>
      <protection/>
    </xf>
    <xf numFmtId="4" fontId="31" fillId="53" borderId="0" xfId="111" applyNumberFormat="1" applyFont="1" applyFill="1" applyBorder="1" applyAlignment="1">
      <alignment horizontal="center"/>
      <protection/>
    </xf>
    <xf numFmtId="4" fontId="33" fillId="53" borderId="14" xfId="111" applyNumberFormat="1" applyFont="1" applyFill="1" applyBorder="1" applyAlignment="1">
      <alignment horizontal="center"/>
      <protection/>
    </xf>
    <xf numFmtId="4" fontId="60" fillId="53" borderId="14" xfId="111" applyNumberFormat="1" applyFont="1" applyFill="1" applyBorder="1" applyAlignment="1">
      <alignment horizontal="center"/>
      <protection/>
    </xf>
    <xf numFmtId="4" fontId="60" fillId="0" borderId="14" xfId="106" applyNumberFormat="1" applyFont="1" applyFill="1" applyBorder="1" applyAlignment="1">
      <alignment horizontal="center"/>
      <protection/>
    </xf>
    <xf numFmtId="4" fontId="61" fillId="53" borderId="14" xfId="111" applyNumberFormat="1" applyFont="1" applyFill="1" applyBorder="1" applyAlignment="1">
      <alignment horizontal="center"/>
      <protection/>
    </xf>
    <xf numFmtId="0" fontId="31" fillId="0" borderId="0" xfId="111" applyFont="1" applyBorder="1">
      <alignment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8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/>
    </xf>
    <xf numFmtId="4" fontId="39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54" borderId="14" xfId="0" applyNumberFormat="1" applyFont="1" applyFill="1" applyBorder="1" applyAlignment="1">
      <alignment/>
    </xf>
    <xf numFmtId="0" fontId="38" fillId="0" borderId="14" xfId="0" applyFont="1" applyBorder="1" applyAlignment="1">
      <alignment vertical="center" wrapText="1"/>
    </xf>
    <xf numFmtId="4" fontId="0" fillId="0" borderId="14" xfId="0" applyNumberFormat="1" applyFill="1" applyBorder="1" applyAlignment="1">
      <alignment horizontal="center" vertical="center"/>
    </xf>
    <xf numFmtId="0" fontId="40" fillId="0" borderId="14" xfId="0" applyFont="1" applyBorder="1" applyAlignment="1">
      <alignment horizontal="justify" vertical="center" wrapText="1"/>
    </xf>
    <xf numFmtId="4" fontId="41" fillId="0" borderId="14" xfId="0" applyNumberFormat="1" applyFont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4" fontId="0" fillId="55" borderId="14" xfId="0" applyNumberFormat="1" applyFill="1" applyBorder="1" applyAlignment="1">
      <alignment wrapText="1"/>
    </xf>
    <xf numFmtId="4" fontId="0" fillId="0" borderId="14" xfId="0" applyNumberFormat="1" applyBorder="1" applyAlignment="1">
      <alignment wrapText="1"/>
    </xf>
    <xf numFmtId="0" fontId="4" fillId="0" borderId="14" xfId="0" applyFont="1" applyBorder="1" applyAlignment="1">
      <alignment/>
    </xf>
    <xf numFmtId="4" fontId="4" fillId="55" borderId="14" xfId="0" applyNumberFormat="1" applyFont="1" applyFill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4" fontId="0" fillId="54" borderId="14" xfId="0" applyNumberFormat="1" applyFill="1" applyBorder="1" applyAlignment="1">
      <alignment wrapText="1"/>
    </xf>
    <xf numFmtId="4" fontId="4" fillId="54" borderId="14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4" fillId="0" borderId="14" xfId="0" applyFont="1" applyFill="1" applyBorder="1" applyAlignment="1">
      <alignment/>
    </xf>
    <xf numFmtId="4" fontId="34" fillId="0" borderId="14" xfId="0" applyNumberFormat="1" applyFont="1" applyBorder="1" applyAlignment="1">
      <alignment wrapText="1"/>
    </xf>
    <xf numFmtId="4" fontId="34" fillId="54" borderId="14" xfId="0" applyNumberFormat="1" applyFont="1" applyFill="1" applyBorder="1" applyAlignment="1">
      <alignment wrapText="1"/>
    </xf>
    <xf numFmtId="4" fontId="0" fillId="52" borderId="14" xfId="0" applyNumberFormat="1" applyFill="1" applyBorder="1" applyAlignment="1">
      <alignment/>
    </xf>
    <xf numFmtId="0" fontId="34" fillId="0" borderId="14" xfId="0" applyFont="1" applyBorder="1" applyAlignment="1">
      <alignment/>
    </xf>
    <xf numFmtId="186" fontId="34" fillId="0" borderId="14" xfId="0" applyNumberFormat="1" applyFont="1" applyBorder="1" applyAlignment="1">
      <alignment/>
    </xf>
    <xf numFmtId="0" fontId="34" fillId="54" borderId="14" xfId="0" applyFont="1" applyFill="1" applyBorder="1" applyAlignment="1">
      <alignment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2" fontId="34" fillId="54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54" borderId="0" xfId="0" applyFill="1" applyAlignment="1">
      <alignment/>
    </xf>
    <xf numFmtId="0" fontId="5" fillId="0" borderId="14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0" fontId="0" fillId="54" borderId="14" xfId="0" applyFill="1" applyBorder="1" applyAlignment="1">
      <alignment/>
    </xf>
    <xf numFmtId="14" fontId="0" fillId="54" borderId="14" xfId="0" applyNumberFormat="1" applyFill="1" applyBorder="1" applyAlignment="1">
      <alignment/>
    </xf>
    <xf numFmtId="4" fontId="0" fillId="54" borderId="14" xfId="0" applyNumberFormat="1" applyFont="1" applyFill="1" applyBorder="1" applyAlignment="1">
      <alignment wrapText="1"/>
    </xf>
    <xf numFmtId="0" fontId="0" fillId="54" borderId="14" xfId="0" applyFont="1" applyFill="1" applyBorder="1" applyAlignment="1">
      <alignment/>
    </xf>
    <xf numFmtId="0" fontId="5" fillId="54" borderId="14" xfId="0" applyFont="1" applyFill="1" applyBorder="1" applyAlignment="1">
      <alignment/>
    </xf>
    <xf numFmtId="4" fontId="5" fillId="54" borderId="14" xfId="0" applyNumberFormat="1" applyFont="1" applyFill="1" applyBorder="1" applyAlignment="1">
      <alignment/>
    </xf>
    <xf numFmtId="14" fontId="0" fillId="54" borderId="14" xfId="0" applyNumberFormat="1" applyFont="1" applyFill="1" applyBorder="1" applyAlignment="1">
      <alignment/>
    </xf>
    <xf numFmtId="0" fontId="0" fillId="54" borderId="18" xfId="0" applyFont="1" applyFill="1" applyBorder="1" applyAlignment="1">
      <alignment/>
    </xf>
    <xf numFmtId="14" fontId="0" fillId="54" borderId="0" xfId="0" applyNumberFormat="1" applyFill="1" applyBorder="1" applyAlignment="1">
      <alignment/>
    </xf>
    <xf numFmtId="4" fontId="4" fillId="54" borderId="0" xfId="0" applyNumberFormat="1" applyFont="1" applyFill="1" applyBorder="1" applyAlignment="1">
      <alignment wrapText="1"/>
    </xf>
    <xf numFmtId="4" fontId="0" fillId="54" borderId="0" xfId="0" applyNumberFormat="1" applyFill="1" applyAlignment="1">
      <alignment/>
    </xf>
    <xf numFmtId="4" fontId="30" fillId="53" borderId="14" xfId="111" applyNumberFormat="1" applyFont="1" applyFill="1" applyBorder="1" applyAlignment="1">
      <alignment horizontal="center"/>
      <protection/>
    </xf>
    <xf numFmtId="4" fontId="4" fillId="0" borderId="0" xfId="111" applyNumberFormat="1" applyFont="1">
      <alignment/>
      <protection/>
    </xf>
    <xf numFmtId="0" fontId="0" fillId="0" borderId="0" xfId="111" applyFont="1" applyAlignment="1">
      <alignment/>
      <protection/>
    </xf>
    <xf numFmtId="4" fontId="0" fillId="0" borderId="18" xfId="0" applyNumberFormat="1" applyFill="1" applyBorder="1" applyAlignment="1">
      <alignment horizontal="center" vertical="center"/>
    </xf>
    <xf numFmtId="4" fontId="62" fillId="53" borderId="14" xfId="111" applyNumberFormat="1" applyFont="1" applyFill="1" applyBorder="1" applyAlignment="1">
      <alignment horizontal="center"/>
      <protection/>
    </xf>
    <xf numFmtId="0" fontId="34" fillId="0" borderId="14" xfId="111" applyFont="1" applyFill="1" applyBorder="1">
      <alignment/>
      <protection/>
    </xf>
    <xf numFmtId="2" fontId="34" fillId="0" borderId="14" xfId="0" applyNumberFormat="1" applyFont="1" applyBorder="1" applyAlignment="1">
      <alignment wrapText="1"/>
    </xf>
    <xf numFmtId="2" fontId="34" fillId="0" borderId="14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4" fontId="0" fillId="54" borderId="14" xfId="0" applyNumberFormat="1" applyFont="1" applyFill="1" applyBorder="1" applyAlignment="1">
      <alignment horizontal="center" vertical="center"/>
    </xf>
    <xf numFmtId="0" fontId="0" fillId="0" borderId="0" xfId="111" applyFont="1" applyAlignment="1">
      <alignment horizontal="center"/>
      <protection/>
    </xf>
    <xf numFmtId="0" fontId="29" fillId="0" borderId="0" xfId="111" applyFont="1" applyAlignment="1">
      <alignment horizontal="center"/>
      <protection/>
    </xf>
    <xf numFmtId="0" fontId="29" fillId="0" borderId="0" xfId="111" applyFont="1" applyAlignment="1">
      <alignment horizontal="center" wrapText="1"/>
      <protection/>
    </xf>
    <xf numFmtId="0" fontId="20" fillId="0" borderId="14" xfId="106" applyFont="1" applyBorder="1" applyAlignment="1">
      <alignment horizontal="center" vertical="center" wrapText="1"/>
      <protection/>
    </xf>
    <xf numFmtId="0" fontId="27" fillId="0" borderId="0" xfId="111" applyFont="1" applyAlignment="1">
      <alignment wrapText="1"/>
      <protection/>
    </xf>
    <xf numFmtId="0" fontId="0" fillId="0" borderId="0" xfId="0" applyFont="1" applyAlignment="1">
      <alignment/>
    </xf>
    <xf numFmtId="0" fontId="30" fillId="0" borderId="14" xfId="111" applyFont="1" applyBorder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4" xfId="0" applyFont="1" applyBorder="1" applyAlignment="1">
      <alignment horizont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8 до бюджету 2012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яснення" xfId="124"/>
    <cellStyle name="Текст предупреждения" xfId="125"/>
    <cellStyle name="Тысячи [0]_Розподіл (2)" xfId="126"/>
    <cellStyle name="Тысячи_Розподіл (2)" xfId="127"/>
    <cellStyle name="Comma" xfId="128"/>
    <cellStyle name="Comma [0]" xfId="129"/>
    <cellStyle name="Финансовый_дод 8 до бюджету 2012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tabSelected="1" view="pageBreakPreview" zoomScale="6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86" sqref="K86"/>
    </sheetView>
  </sheetViews>
  <sheetFormatPr defaultColWidth="9.33203125" defaultRowHeight="12.75"/>
  <cols>
    <col min="1" max="1" width="8.5" style="1" customWidth="1"/>
    <col min="2" max="2" width="169.5" style="1" customWidth="1"/>
    <col min="3" max="3" width="30.66015625" style="8" customWidth="1"/>
    <col min="4" max="4" width="22.16015625" style="1" customWidth="1"/>
    <col min="5" max="5" width="18.66015625" style="1" customWidth="1"/>
    <col min="6" max="6" width="20" style="1" customWidth="1"/>
    <col min="7" max="7" width="18.66015625" style="1" customWidth="1"/>
    <col min="8" max="8" width="20.5" style="1" customWidth="1"/>
    <col min="9" max="16384" width="9.33203125" style="1" customWidth="1"/>
  </cols>
  <sheetData>
    <row r="1" spans="3:4" ht="65.25" customHeight="1">
      <c r="C1" s="138"/>
      <c r="D1" s="139"/>
    </row>
    <row r="2" spans="2:8" ht="21" customHeight="1">
      <c r="B2" s="135" t="s">
        <v>59</v>
      </c>
      <c r="C2" s="135"/>
      <c r="D2" s="135"/>
      <c r="E2" s="135"/>
      <c r="F2" s="135"/>
      <c r="G2" s="135"/>
      <c r="H2" s="135"/>
    </row>
    <row r="3" spans="2:8" ht="20.25" customHeight="1">
      <c r="B3" s="136" t="s">
        <v>60</v>
      </c>
      <c r="C3" s="136"/>
      <c r="D3" s="136"/>
      <c r="E3" s="136"/>
      <c r="F3" s="136"/>
      <c r="G3" s="136"/>
      <c r="H3" s="136"/>
    </row>
    <row r="4" spans="1:4" ht="20.25" customHeight="1">
      <c r="A4" s="20"/>
      <c r="B4" s="20"/>
      <c r="C4" s="20"/>
      <c r="D4" s="20"/>
    </row>
    <row r="5" spans="2:4" ht="13.5" customHeight="1">
      <c r="B5" s="3"/>
      <c r="C5" s="2"/>
      <c r="D5" s="9" t="s">
        <v>16</v>
      </c>
    </row>
    <row r="6" spans="1:8" ht="12" customHeight="1">
      <c r="A6" s="140" t="s">
        <v>2</v>
      </c>
      <c r="B6" s="140" t="s">
        <v>0</v>
      </c>
      <c r="C6" s="137" t="s">
        <v>1</v>
      </c>
      <c r="D6" s="137" t="s">
        <v>12</v>
      </c>
      <c r="E6" s="137" t="s">
        <v>19</v>
      </c>
      <c r="F6" s="11" t="s">
        <v>20</v>
      </c>
      <c r="G6" s="137" t="s">
        <v>202</v>
      </c>
      <c r="H6" s="137" t="s">
        <v>73</v>
      </c>
    </row>
    <row r="7" spans="1:8" ht="36" customHeight="1">
      <c r="A7" s="140"/>
      <c r="B7" s="140"/>
      <c r="C7" s="137"/>
      <c r="D7" s="137"/>
      <c r="E7" s="137"/>
      <c r="F7" s="30" t="s">
        <v>21</v>
      </c>
      <c r="G7" s="137"/>
      <c r="H7" s="137"/>
    </row>
    <row r="8" spans="1:8" ht="14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</row>
    <row r="9" spans="1:8" s="12" customFormat="1" ht="19.5" customHeight="1">
      <c r="A9" s="57"/>
      <c r="B9" s="61" t="s">
        <v>4</v>
      </c>
      <c r="C9" s="58"/>
      <c r="D9" s="58"/>
      <c r="E9" s="58"/>
      <c r="F9" s="58"/>
      <c r="G9" s="58"/>
      <c r="H9" s="62"/>
    </row>
    <row r="10" spans="1:8" ht="17.25">
      <c r="A10" s="4">
        <v>1</v>
      </c>
      <c r="B10" s="5" t="s">
        <v>3</v>
      </c>
      <c r="C10" s="6">
        <f>D10+E10</f>
        <v>173536838.67999998</v>
      </c>
      <c r="D10" s="6">
        <f>D11</f>
        <v>125205253.78999999</v>
      </c>
      <c r="E10" s="6">
        <f>E11+E27</f>
        <v>48331584.889999986</v>
      </c>
      <c r="F10" s="6">
        <f>F11+F27</f>
        <v>48331336.569999985</v>
      </c>
      <c r="G10" s="6">
        <f>G11+G27</f>
        <v>32802178.979999997</v>
      </c>
      <c r="H10" s="6">
        <f>(G10/(C10))*100</f>
        <v>18.90214160261779</v>
      </c>
    </row>
    <row r="11" spans="1:8" ht="18">
      <c r="A11" s="7"/>
      <c r="B11" s="31" t="s">
        <v>5</v>
      </c>
      <c r="C11" s="32">
        <f>SUM(C12:C18)+C19</f>
        <v>125205502.11</v>
      </c>
      <c r="D11" s="32">
        <f>SUM(D12:D18)+D19</f>
        <v>125205253.78999999</v>
      </c>
      <c r="E11" s="32">
        <f>SUM(E12:E18)+E19</f>
        <v>248.32</v>
      </c>
      <c r="F11" s="32"/>
      <c r="G11" s="32">
        <f>SUM(G12:G18)+G19</f>
        <v>28960326.259999998</v>
      </c>
      <c r="H11" s="32">
        <f>(G11/(D11))*100</f>
        <v>23.130280386295603</v>
      </c>
    </row>
    <row r="12" spans="1:8" ht="18">
      <c r="A12" s="7"/>
      <c r="B12" s="13" t="s">
        <v>6</v>
      </c>
      <c r="C12" s="14">
        <f>D12</f>
        <v>27000000</v>
      </c>
      <c r="D12" s="14">
        <f>40000000-16600000+3600000</f>
        <v>27000000</v>
      </c>
      <c r="E12" s="10"/>
      <c r="F12" s="47"/>
      <c r="G12" s="14"/>
      <c r="H12" s="66">
        <f aca="true" t="shared" si="0" ref="H12:H25">(G12/(D12))*100</f>
        <v>0</v>
      </c>
    </row>
    <row r="13" spans="1:8" ht="18" hidden="1">
      <c r="A13" s="7"/>
      <c r="B13" s="13" t="s">
        <v>7</v>
      </c>
      <c r="C13" s="14">
        <f aca="true" t="shared" si="1" ref="C13:C18">D13</f>
        <v>0</v>
      </c>
      <c r="D13" s="14">
        <f>3600000-3600000</f>
        <v>0</v>
      </c>
      <c r="E13" s="10"/>
      <c r="F13" s="47"/>
      <c r="G13" s="14"/>
      <c r="H13" s="66" t="e">
        <f t="shared" si="0"/>
        <v>#DIV/0!</v>
      </c>
    </row>
    <row r="14" spans="1:8" s="15" customFormat="1" ht="18">
      <c r="A14" s="7"/>
      <c r="B14" s="13" t="s">
        <v>9</v>
      </c>
      <c r="C14" s="14">
        <f t="shared" si="1"/>
        <v>7500000</v>
      </c>
      <c r="D14" s="14">
        <v>7500000</v>
      </c>
      <c r="E14" s="28"/>
      <c r="F14" s="48"/>
      <c r="G14" s="14">
        <f>137067.72+350806.16+199442.41+199329.76+198628.89+108918.8+147051.35+199793+199629+387477</f>
        <v>2128144.09</v>
      </c>
      <c r="H14" s="14">
        <f t="shared" si="0"/>
        <v>28.375254533333333</v>
      </c>
    </row>
    <row r="15" spans="1:8" ht="18">
      <c r="A15" s="7"/>
      <c r="B15" s="13" t="s">
        <v>11</v>
      </c>
      <c r="C15" s="14">
        <f t="shared" si="1"/>
        <v>5000000</v>
      </c>
      <c r="D15" s="14">
        <v>5000000</v>
      </c>
      <c r="E15" s="10"/>
      <c r="F15" s="47"/>
      <c r="G15" s="14">
        <f>199829+724807</f>
        <v>924636</v>
      </c>
      <c r="H15" s="14">
        <f t="shared" si="0"/>
        <v>18.492720000000002</v>
      </c>
    </row>
    <row r="16" spans="1:8" ht="36">
      <c r="A16" s="7"/>
      <c r="B16" s="13" t="s">
        <v>24</v>
      </c>
      <c r="C16" s="14">
        <f>D16+E16</f>
        <v>250248.32</v>
      </c>
      <c r="D16" s="14">
        <v>250000</v>
      </c>
      <c r="E16" s="14">
        <v>248.32</v>
      </c>
      <c r="F16" s="47"/>
      <c r="G16" s="14"/>
      <c r="H16" s="66">
        <f t="shared" si="0"/>
        <v>0</v>
      </c>
    </row>
    <row r="17" spans="1:8" ht="24" customHeight="1">
      <c r="A17" s="7"/>
      <c r="B17" s="13" t="s">
        <v>22</v>
      </c>
      <c r="C17" s="14">
        <f t="shared" si="1"/>
        <v>14523753.79</v>
      </c>
      <c r="D17" s="14">
        <f>27750000-10000000-3226246.21</f>
        <v>14523753.79</v>
      </c>
      <c r="E17" s="10"/>
      <c r="F17" s="47"/>
      <c r="G17" s="14">
        <f>6997540.98+594652.5+1148101.7+2233165.44+1548947.25</f>
        <v>12522407.87</v>
      </c>
      <c r="H17" s="14">
        <f t="shared" si="0"/>
        <v>86.22018832777253</v>
      </c>
    </row>
    <row r="18" spans="1:8" ht="18" customHeight="1" hidden="1">
      <c r="A18" s="7"/>
      <c r="B18" s="13" t="s">
        <v>22</v>
      </c>
      <c r="C18" s="14">
        <f t="shared" si="1"/>
        <v>0</v>
      </c>
      <c r="D18" s="14"/>
      <c r="E18" s="10"/>
      <c r="F18" s="47"/>
      <c r="G18" s="10"/>
      <c r="H18" s="14" t="e">
        <f t="shared" si="0"/>
        <v>#DIV/0!</v>
      </c>
    </row>
    <row r="19" spans="1:8" s="27" customFormat="1" ht="36">
      <c r="A19" s="24"/>
      <c r="B19" s="25" t="s">
        <v>13</v>
      </c>
      <c r="C19" s="26">
        <f>D19</f>
        <v>70931500</v>
      </c>
      <c r="D19" s="26">
        <f>SUM(D20:D26)</f>
        <v>70931500</v>
      </c>
      <c r="E19" s="26"/>
      <c r="F19" s="26"/>
      <c r="G19" s="26">
        <f>SUM(G20:G26)</f>
        <v>13385138.3</v>
      </c>
      <c r="H19" s="26">
        <f t="shared" si="0"/>
        <v>18.870513523610807</v>
      </c>
    </row>
    <row r="20" spans="1:8" s="23" customFormat="1" ht="15.75" customHeight="1">
      <c r="A20" s="21"/>
      <c r="B20" s="16" t="s">
        <v>6</v>
      </c>
      <c r="C20" s="17">
        <f aca="true" t="shared" si="2" ref="C20:C26">D20</f>
        <v>44660771</v>
      </c>
      <c r="D20" s="17">
        <f>24160771+20500000+10000000-10000000</f>
        <v>44660771</v>
      </c>
      <c r="E20" s="29"/>
      <c r="F20" s="49"/>
      <c r="G20" s="17">
        <f>620453.34+771948.36+17123.62+121351+628239.21+14988.8+111120.88+567240.63+36810.02+69255.18+728404.21+16004.52+273100+441781.4+103022.32+1143604.71+51070+499660.2</f>
        <v>6215178.4</v>
      </c>
      <c r="H20" s="64">
        <f t="shared" si="0"/>
        <v>13.91641537043774</v>
      </c>
    </row>
    <row r="21" spans="1:8" s="23" customFormat="1" ht="18">
      <c r="A21" s="21"/>
      <c r="B21" s="16" t="s">
        <v>7</v>
      </c>
      <c r="C21" s="17">
        <f t="shared" si="2"/>
        <v>3800014</v>
      </c>
      <c r="D21" s="17">
        <v>3800014</v>
      </c>
      <c r="E21" s="29"/>
      <c r="F21" s="49"/>
      <c r="G21" s="17">
        <f>106676.56+405054</f>
        <v>511730.56</v>
      </c>
      <c r="H21" s="64">
        <f t="shared" si="0"/>
        <v>13.46654407062711</v>
      </c>
    </row>
    <row r="22" spans="1:8" s="23" customFormat="1" ht="18">
      <c r="A22" s="21"/>
      <c r="B22" s="16" t="s">
        <v>8</v>
      </c>
      <c r="C22" s="17">
        <f t="shared" si="2"/>
        <v>2700000</v>
      </c>
      <c r="D22" s="17">
        <v>2700000</v>
      </c>
      <c r="E22" s="29"/>
      <c r="F22" s="49"/>
      <c r="G22" s="17">
        <f>224136.4</f>
        <v>224136.4</v>
      </c>
      <c r="H22" s="64">
        <f t="shared" si="0"/>
        <v>8.301348148148149</v>
      </c>
    </row>
    <row r="23" spans="1:8" s="23" customFormat="1" ht="18">
      <c r="A23" s="21"/>
      <c r="B23" s="16" t="s">
        <v>23</v>
      </c>
      <c r="C23" s="17">
        <f t="shared" si="2"/>
        <v>1862874</v>
      </c>
      <c r="D23" s="17">
        <v>1862874</v>
      </c>
      <c r="E23" s="29"/>
      <c r="F23" s="49"/>
      <c r="G23" s="17">
        <f>37507.91+54524.79+88165+54406.88+43890+10413.01+56745.62+43223.15+102924.97+64365.81</f>
        <v>556167.1400000001</v>
      </c>
      <c r="H23" s="64">
        <f t="shared" si="0"/>
        <v>29.855327842892226</v>
      </c>
    </row>
    <row r="24" spans="1:8" s="23" customFormat="1" ht="18">
      <c r="A24" s="21"/>
      <c r="B24" s="22" t="s">
        <v>14</v>
      </c>
      <c r="C24" s="17">
        <f t="shared" si="2"/>
        <v>5800000</v>
      </c>
      <c r="D24" s="17">
        <v>5800000</v>
      </c>
      <c r="E24" s="29"/>
      <c r="F24" s="49"/>
      <c r="G24" s="17"/>
      <c r="H24" s="67">
        <f t="shared" si="0"/>
        <v>0</v>
      </c>
    </row>
    <row r="25" spans="1:8" s="23" customFormat="1" ht="18">
      <c r="A25" s="21"/>
      <c r="B25" s="16" t="s">
        <v>11</v>
      </c>
      <c r="C25" s="17">
        <f t="shared" si="2"/>
        <v>2249988</v>
      </c>
      <c r="D25" s="17">
        <f>2399988-150000</f>
        <v>2249988</v>
      </c>
      <c r="E25" s="29"/>
      <c r="F25" s="49"/>
      <c r="G25" s="17">
        <f>142644.68+9174.74+150000+181961.92+12749.29+6375.6</f>
        <v>502906.2299999999</v>
      </c>
      <c r="H25" s="64">
        <f t="shared" si="0"/>
        <v>22.35150720803844</v>
      </c>
    </row>
    <row r="26" spans="1:8" s="23" customFormat="1" ht="54">
      <c r="A26" s="21"/>
      <c r="B26" s="16" t="s">
        <v>15</v>
      </c>
      <c r="C26" s="17">
        <f t="shared" si="2"/>
        <v>9857853</v>
      </c>
      <c r="D26" s="17">
        <f>19857853-10000000</f>
        <v>9857853</v>
      </c>
      <c r="E26" s="29"/>
      <c r="F26" s="49"/>
      <c r="G26" s="17">
        <f>475948.77+857321.31+72937.06+566990+547239.48+183540.91+53507.5+73716.8+569235.94+125500+2992.8+5465.73+440920.34+70831+806438.55+29983.4+198779.98+59247.4+234422.6</f>
        <v>5375019.57</v>
      </c>
      <c r="H26" s="64">
        <f>(G26/(D26))*100</f>
        <v>54.52525585439345</v>
      </c>
    </row>
    <row r="27" spans="1:8" s="23" customFormat="1" ht="18" customHeight="1">
      <c r="A27" s="21"/>
      <c r="B27" s="31" t="s">
        <v>17</v>
      </c>
      <c r="C27" s="32">
        <f>SUM(C28:C85)</f>
        <v>48331336.569999985</v>
      </c>
      <c r="D27" s="32"/>
      <c r="E27" s="32">
        <f>SUM(E28:E85)</f>
        <v>48331336.569999985</v>
      </c>
      <c r="F27" s="50">
        <f>SUM(F28:F85)</f>
        <v>48331336.569999985</v>
      </c>
      <c r="G27" s="50">
        <f>SUM(G28:G85)</f>
        <v>3841852.72</v>
      </c>
      <c r="H27" s="123">
        <f>(G27/(E27))*100</f>
        <v>7.948989191382508</v>
      </c>
    </row>
    <row r="28" spans="1:8" s="23" customFormat="1" ht="18" customHeight="1">
      <c r="A28" s="21"/>
      <c r="B28" s="13" t="s">
        <v>74</v>
      </c>
      <c r="C28" s="14">
        <f aca="true" t="shared" si="3" ref="C28:C39">E28</f>
        <v>1154000</v>
      </c>
      <c r="D28" s="32"/>
      <c r="E28" s="14">
        <f aca="true" t="shared" si="4" ref="E28:E80">F28</f>
        <v>1154000</v>
      </c>
      <c r="F28" s="14">
        <v>1154000</v>
      </c>
      <c r="G28" s="14">
        <f>9000</f>
        <v>9000</v>
      </c>
      <c r="H28" s="54">
        <f aca="true" t="shared" si="5" ref="H28:H85">(G28/(E28))*100</f>
        <v>0.779896013864818</v>
      </c>
    </row>
    <row r="29" spans="1:8" s="23" customFormat="1" ht="18" customHeight="1">
      <c r="A29" s="21"/>
      <c r="B29" s="13" t="s">
        <v>75</v>
      </c>
      <c r="C29" s="14">
        <f t="shared" si="3"/>
        <v>1400000</v>
      </c>
      <c r="D29" s="32"/>
      <c r="E29" s="14">
        <f t="shared" si="4"/>
        <v>1400000</v>
      </c>
      <c r="F29" s="14">
        <v>1400000</v>
      </c>
      <c r="G29" s="14">
        <v>69600</v>
      </c>
      <c r="H29" s="54">
        <f t="shared" si="5"/>
        <v>4.9714285714285715</v>
      </c>
    </row>
    <row r="30" spans="1:8" s="23" customFormat="1" ht="18" customHeight="1">
      <c r="A30" s="21"/>
      <c r="B30" s="13" t="s">
        <v>76</v>
      </c>
      <c r="C30" s="14">
        <f t="shared" si="3"/>
        <v>1500000</v>
      </c>
      <c r="D30" s="32"/>
      <c r="E30" s="14">
        <f t="shared" si="4"/>
        <v>1500000</v>
      </c>
      <c r="F30" s="14">
        <v>1500000</v>
      </c>
      <c r="G30" s="14">
        <v>103000</v>
      </c>
      <c r="H30" s="54">
        <f t="shared" si="5"/>
        <v>6.866666666666667</v>
      </c>
    </row>
    <row r="31" spans="1:8" s="23" customFormat="1" ht="36">
      <c r="A31" s="21"/>
      <c r="B31" s="13" t="s">
        <v>77</v>
      </c>
      <c r="C31" s="14">
        <f t="shared" si="3"/>
        <v>1500000</v>
      </c>
      <c r="D31" s="32"/>
      <c r="E31" s="14">
        <f t="shared" si="4"/>
        <v>1500000</v>
      </c>
      <c r="F31" s="14">
        <v>1500000</v>
      </c>
      <c r="G31" s="14">
        <v>71134.73</v>
      </c>
      <c r="H31" s="54">
        <f t="shared" si="5"/>
        <v>4.742315333333333</v>
      </c>
    </row>
    <row r="32" spans="1:8" s="23" customFormat="1" ht="18" customHeight="1">
      <c r="A32" s="21"/>
      <c r="B32" s="13" t="s">
        <v>78</v>
      </c>
      <c r="C32" s="14">
        <f t="shared" si="3"/>
        <v>1490000</v>
      </c>
      <c r="D32" s="32"/>
      <c r="E32" s="14">
        <f t="shared" si="4"/>
        <v>1490000</v>
      </c>
      <c r="F32" s="14">
        <v>1490000</v>
      </c>
      <c r="G32" s="14">
        <v>70965</v>
      </c>
      <c r="H32" s="54">
        <f t="shared" si="5"/>
        <v>4.762751677852349</v>
      </c>
    </row>
    <row r="33" spans="1:8" s="23" customFormat="1" ht="18" customHeight="1">
      <c r="A33" s="21"/>
      <c r="B33" s="13" t="s">
        <v>79</v>
      </c>
      <c r="C33" s="14">
        <f t="shared" si="3"/>
        <v>1490000</v>
      </c>
      <c r="D33" s="32"/>
      <c r="E33" s="14">
        <f t="shared" si="4"/>
        <v>1490000</v>
      </c>
      <c r="F33" s="14">
        <v>1490000</v>
      </c>
      <c r="G33" s="14">
        <v>70965</v>
      </c>
      <c r="H33" s="54">
        <f t="shared" si="5"/>
        <v>4.762751677852349</v>
      </c>
    </row>
    <row r="34" spans="1:8" s="23" customFormat="1" ht="37.5" customHeight="1">
      <c r="A34" s="21"/>
      <c r="B34" s="13" t="s">
        <v>80</v>
      </c>
      <c r="C34" s="14">
        <f t="shared" si="3"/>
        <v>10000</v>
      </c>
      <c r="D34" s="32"/>
      <c r="E34" s="14">
        <f t="shared" si="4"/>
        <v>10000</v>
      </c>
      <c r="F34" s="14">
        <f>656000-646000</f>
        <v>10000</v>
      </c>
      <c r="G34" s="14"/>
      <c r="H34" s="65">
        <f t="shared" si="5"/>
        <v>0</v>
      </c>
    </row>
    <row r="35" spans="1:8" s="23" customFormat="1" ht="36">
      <c r="A35" s="21"/>
      <c r="B35" s="13" t="s">
        <v>81</v>
      </c>
      <c r="C35" s="14">
        <f t="shared" si="3"/>
        <v>1181000</v>
      </c>
      <c r="D35" s="32"/>
      <c r="E35" s="14">
        <f t="shared" si="4"/>
        <v>1181000</v>
      </c>
      <c r="F35" s="14">
        <v>1181000</v>
      </c>
      <c r="G35" s="14"/>
      <c r="H35" s="65">
        <f t="shared" si="5"/>
        <v>0</v>
      </c>
    </row>
    <row r="36" spans="1:8" s="23" customFormat="1" ht="18" customHeight="1">
      <c r="A36" s="21"/>
      <c r="B36" s="13" t="s">
        <v>82</v>
      </c>
      <c r="C36" s="14">
        <f t="shared" si="3"/>
        <v>161206</v>
      </c>
      <c r="D36" s="32"/>
      <c r="E36" s="14">
        <f t="shared" si="4"/>
        <v>161206</v>
      </c>
      <c r="F36" s="14">
        <v>161206</v>
      </c>
      <c r="G36" s="14"/>
      <c r="H36" s="65">
        <f t="shared" si="5"/>
        <v>0</v>
      </c>
    </row>
    <row r="37" spans="1:8" s="23" customFormat="1" ht="18" customHeight="1">
      <c r="A37" s="21"/>
      <c r="B37" s="13" t="s">
        <v>83</v>
      </c>
      <c r="C37" s="14">
        <f t="shared" si="3"/>
        <v>280000</v>
      </c>
      <c r="D37" s="32"/>
      <c r="E37" s="14">
        <f t="shared" si="4"/>
        <v>280000</v>
      </c>
      <c r="F37" s="14">
        <v>280000</v>
      </c>
      <c r="G37" s="14">
        <v>36000</v>
      </c>
      <c r="H37" s="54">
        <f t="shared" si="5"/>
        <v>12.857142857142856</v>
      </c>
    </row>
    <row r="38" spans="1:8" s="23" customFormat="1" ht="18" customHeight="1">
      <c r="A38" s="21"/>
      <c r="B38" s="13" t="s">
        <v>84</v>
      </c>
      <c r="C38" s="14">
        <f t="shared" si="3"/>
        <v>500000</v>
      </c>
      <c r="D38" s="32"/>
      <c r="E38" s="14">
        <f t="shared" si="4"/>
        <v>500000</v>
      </c>
      <c r="F38" s="14">
        <v>500000</v>
      </c>
      <c r="G38" s="14">
        <v>32000</v>
      </c>
      <c r="H38" s="54">
        <f t="shared" si="5"/>
        <v>6.4</v>
      </c>
    </row>
    <row r="39" spans="1:8" s="23" customFormat="1" ht="18" customHeight="1">
      <c r="A39" s="21"/>
      <c r="B39" s="13" t="s">
        <v>85</v>
      </c>
      <c r="C39" s="14">
        <f t="shared" si="3"/>
        <v>100000</v>
      </c>
      <c r="D39" s="32"/>
      <c r="E39" s="14">
        <f t="shared" si="4"/>
        <v>100000</v>
      </c>
      <c r="F39" s="14">
        <v>100000</v>
      </c>
      <c r="G39" s="14">
        <v>26000</v>
      </c>
      <c r="H39" s="54">
        <f t="shared" si="5"/>
        <v>26</v>
      </c>
    </row>
    <row r="40" spans="1:8" s="23" customFormat="1" ht="18" customHeight="1">
      <c r="A40" s="21"/>
      <c r="B40" s="13" t="s">
        <v>86</v>
      </c>
      <c r="C40" s="14">
        <f aca="true" t="shared" si="6" ref="C40:C85">E40</f>
        <v>30272.94</v>
      </c>
      <c r="D40" s="32"/>
      <c r="E40" s="14">
        <f t="shared" si="4"/>
        <v>30272.94</v>
      </c>
      <c r="F40" s="14">
        <v>30272.94</v>
      </c>
      <c r="G40" s="14"/>
      <c r="H40" s="65">
        <f t="shared" si="5"/>
        <v>0</v>
      </c>
    </row>
    <row r="41" spans="1:8" s="23" customFormat="1" ht="18" customHeight="1">
      <c r="A41" s="21"/>
      <c r="B41" s="13" t="s">
        <v>87</v>
      </c>
      <c r="C41" s="14">
        <f t="shared" si="6"/>
        <v>60000</v>
      </c>
      <c r="D41" s="32"/>
      <c r="E41" s="14">
        <f t="shared" si="4"/>
        <v>60000</v>
      </c>
      <c r="F41" s="14">
        <v>60000</v>
      </c>
      <c r="G41" s="14"/>
      <c r="H41" s="65">
        <f t="shared" si="5"/>
        <v>0</v>
      </c>
    </row>
    <row r="42" spans="1:8" s="23" customFormat="1" ht="18" customHeight="1">
      <c r="A42" s="21"/>
      <c r="B42" s="13" t="s">
        <v>88</v>
      </c>
      <c r="C42" s="14">
        <f t="shared" si="6"/>
        <v>1490000</v>
      </c>
      <c r="D42" s="32"/>
      <c r="E42" s="14">
        <f t="shared" si="4"/>
        <v>1490000</v>
      </c>
      <c r="F42" s="14">
        <v>1490000</v>
      </c>
      <c r="G42" s="14">
        <v>70965</v>
      </c>
      <c r="H42" s="54">
        <f t="shared" si="5"/>
        <v>4.762751677852349</v>
      </c>
    </row>
    <row r="43" spans="1:8" s="23" customFormat="1" ht="36" customHeight="1">
      <c r="A43" s="21"/>
      <c r="B43" s="13" t="s">
        <v>89</v>
      </c>
      <c r="C43" s="14">
        <f t="shared" si="6"/>
        <v>600000</v>
      </c>
      <c r="D43" s="32"/>
      <c r="E43" s="14">
        <f t="shared" si="4"/>
        <v>600000</v>
      </c>
      <c r="F43" s="14">
        <v>600000</v>
      </c>
      <c r="G43" s="14">
        <v>80000</v>
      </c>
      <c r="H43" s="54">
        <f t="shared" si="5"/>
        <v>13.333333333333334</v>
      </c>
    </row>
    <row r="44" spans="1:8" s="23" customFormat="1" ht="18" customHeight="1">
      <c r="A44" s="21"/>
      <c r="B44" s="13" t="s">
        <v>25</v>
      </c>
      <c r="C44" s="14">
        <f t="shared" si="6"/>
        <v>549417.6</v>
      </c>
      <c r="D44" s="32"/>
      <c r="E44" s="14">
        <f t="shared" si="4"/>
        <v>549417.6</v>
      </c>
      <c r="F44" s="14">
        <f>535175.6+14242</f>
        <v>549417.6</v>
      </c>
      <c r="G44" s="14">
        <f>338320</f>
        <v>338320</v>
      </c>
      <c r="H44" s="127">
        <f t="shared" si="5"/>
        <v>61.577932705468484</v>
      </c>
    </row>
    <row r="45" spans="1:8" s="23" customFormat="1" ht="18" customHeight="1">
      <c r="A45" s="21"/>
      <c r="B45" s="13" t="s">
        <v>90</v>
      </c>
      <c r="C45" s="14">
        <f t="shared" si="6"/>
        <v>812887.2</v>
      </c>
      <c r="D45" s="32"/>
      <c r="E45" s="14">
        <f t="shared" si="4"/>
        <v>812887.2</v>
      </c>
      <c r="F45" s="14">
        <f>425000+387887.2</f>
        <v>812887.2</v>
      </c>
      <c r="G45" s="14"/>
      <c r="H45" s="65">
        <f t="shared" si="5"/>
        <v>0</v>
      </c>
    </row>
    <row r="46" spans="1:8" s="23" customFormat="1" ht="18" customHeight="1">
      <c r="A46" s="21"/>
      <c r="B46" s="13" t="s">
        <v>91</v>
      </c>
      <c r="C46" s="14">
        <f t="shared" si="6"/>
        <v>872194.8</v>
      </c>
      <c r="D46" s="32"/>
      <c r="E46" s="14">
        <f t="shared" si="4"/>
        <v>872194.8</v>
      </c>
      <c r="F46" s="14">
        <f>425000+447194.8</f>
        <v>872194.8</v>
      </c>
      <c r="G46" s="14"/>
      <c r="H46" s="65">
        <f t="shared" si="5"/>
        <v>0</v>
      </c>
    </row>
    <row r="47" spans="1:8" s="23" customFormat="1" ht="18" customHeight="1">
      <c r="A47" s="21"/>
      <c r="B47" s="13" t="s">
        <v>26</v>
      </c>
      <c r="C47" s="14">
        <f t="shared" si="6"/>
        <v>163736</v>
      </c>
      <c r="D47" s="32"/>
      <c r="E47" s="14">
        <f t="shared" si="4"/>
        <v>163736</v>
      </c>
      <c r="F47" s="14">
        <v>163736</v>
      </c>
      <c r="G47" s="14"/>
      <c r="H47" s="65">
        <f t="shared" si="5"/>
        <v>0</v>
      </c>
    </row>
    <row r="48" spans="1:8" s="23" customFormat="1" ht="36" customHeight="1">
      <c r="A48" s="21"/>
      <c r="B48" s="13" t="s">
        <v>27</v>
      </c>
      <c r="C48" s="14">
        <f t="shared" si="6"/>
        <v>262000</v>
      </c>
      <c r="D48" s="32"/>
      <c r="E48" s="14">
        <f t="shared" si="4"/>
        <v>262000</v>
      </c>
      <c r="F48" s="14">
        <v>262000</v>
      </c>
      <c r="G48" s="14"/>
      <c r="H48" s="65">
        <f t="shared" si="5"/>
        <v>0</v>
      </c>
    </row>
    <row r="49" spans="1:8" s="23" customFormat="1" ht="18" customHeight="1">
      <c r="A49" s="21"/>
      <c r="B49" s="13" t="s">
        <v>92</v>
      </c>
      <c r="C49" s="14">
        <f t="shared" si="6"/>
        <v>120000</v>
      </c>
      <c r="D49" s="32"/>
      <c r="E49" s="14">
        <f t="shared" si="4"/>
        <v>120000</v>
      </c>
      <c r="F49" s="14">
        <f>1250000-1130000</f>
        <v>120000</v>
      </c>
      <c r="G49" s="14"/>
      <c r="H49" s="65">
        <f t="shared" si="5"/>
        <v>0</v>
      </c>
    </row>
    <row r="50" spans="1:8" s="23" customFormat="1" ht="18" customHeight="1">
      <c r="A50" s="21"/>
      <c r="B50" s="13" t="s">
        <v>28</v>
      </c>
      <c r="C50" s="14">
        <f t="shared" si="6"/>
        <v>248321.41</v>
      </c>
      <c r="D50" s="32"/>
      <c r="E50" s="14">
        <f t="shared" si="4"/>
        <v>248321.41</v>
      </c>
      <c r="F50" s="14">
        <v>248321.41</v>
      </c>
      <c r="G50" s="14">
        <f>61079.6</f>
        <v>61079.6</v>
      </c>
      <c r="H50" s="54">
        <f t="shared" si="5"/>
        <v>24.596993066365076</v>
      </c>
    </row>
    <row r="51" spans="1:8" s="23" customFormat="1" ht="18" customHeight="1">
      <c r="A51" s="21"/>
      <c r="B51" s="13" t="s">
        <v>93</v>
      </c>
      <c r="C51" s="14">
        <f t="shared" si="6"/>
        <v>1700000</v>
      </c>
      <c r="D51" s="32"/>
      <c r="E51" s="14">
        <f t="shared" si="4"/>
        <v>1700000</v>
      </c>
      <c r="F51" s="14">
        <v>1700000</v>
      </c>
      <c r="G51" s="14">
        <v>103000</v>
      </c>
      <c r="H51" s="54">
        <f t="shared" si="5"/>
        <v>6.0588235294117645</v>
      </c>
    </row>
    <row r="52" spans="1:8" s="23" customFormat="1" ht="18" customHeight="1">
      <c r="A52" s="21"/>
      <c r="B52" s="13" t="s">
        <v>189</v>
      </c>
      <c r="C52" s="14">
        <f t="shared" si="6"/>
        <v>900000</v>
      </c>
      <c r="D52" s="32"/>
      <c r="E52" s="14">
        <f t="shared" si="4"/>
        <v>900000</v>
      </c>
      <c r="F52" s="14">
        <v>900000</v>
      </c>
      <c r="G52" s="14"/>
      <c r="H52" s="65">
        <f t="shared" si="5"/>
        <v>0</v>
      </c>
    </row>
    <row r="53" spans="1:8" s="23" customFormat="1" ht="18" customHeight="1">
      <c r="A53" s="21"/>
      <c r="B53" s="13" t="s">
        <v>94</v>
      </c>
      <c r="C53" s="14">
        <f>E53</f>
        <v>1490000</v>
      </c>
      <c r="D53" s="32"/>
      <c r="E53" s="14">
        <f t="shared" si="4"/>
        <v>1490000</v>
      </c>
      <c r="F53" s="14">
        <v>1490000</v>
      </c>
      <c r="G53" s="14">
        <f>83464</f>
        <v>83464</v>
      </c>
      <c r="H53" s="54">
        <f t="shared" si="5"/>
        <v>5.601610738255033</v>
      </c>
    </row>
    <row r="54" spans="1:8" s="23" customFormat="1" ht="18" customHeight="1">
      <c r="A54" s="21"/>
      <c r="B54" s="13" t="s">
        <v>29</v>
      </c>
      <c r="C54" s="14">
        <f>E54</f>
        <v>492463.4</v>
      </c>
      <c r="D54" s="32"/>
      <c r="E54" s="14">
        <f t="shared" si="4"/>
        <v>492463.4</v>
      </c>
      <c r="F54" s="14">
        <f>365279-53561+180745.4</f>
        <v>492463.4</v>
      </c>
      <c r="G54" s="14">
        <f>302826</f>
        <v>302826</v>
      </c>
      <c r="H54" s="54">
        <f t="shared" si="5"/>
        <v>61.492082457295304</v>
      </c>
    </row>
    <row r="55" spans="1:8" s="23" customFormat="1" ht="18" customHeight="1">
      <c r="A55" s="21"/>
      <c r="B55" s="13" t="s">
        <v>95</v>
      </c>
      <c r="C55" s="14">
        <f t="shared" si="6"/>
        <v>800000</v>
      </c>
      <c r="D55" s="32"/>
      <c r="E55" s="14">
        <f t="shared" si="4"/>
        <v>800000</v>
      </c>
      <c r="F55" s="14">
        <v>800000</v>
      </c>
      <c r="G55" s="14">
        <f>103000</f>
        <v>103000</v>
      </c>
      <c r="H55" s="54">
        <f t="shared" si="5"/>
        <v>12.875</v>
      </c>
    </row>
    <row r="56" spans="1:8" s="23" customFormat="1" ht="18" customHeight="1">
      <c r="A56" s="21"/>
      <c r="B56" s="13" t="s">
        <v>96</v>
      </c>
      <c r="C56" s="14">
        <f t="shared" si="6"/>
        <v>760000</v>
      </c>
      <c r="D56" s="32"/>
      <c r="E56" s="14">
        <f t="shared" si="4"/>
        <v>760000</v>
      </c>
      <c r="F56" s="14">
        <v>760000</v>
      </c>
      <c r="G56" s="14">
        <f>88000</f>
        <v>88000</v>
      </c>
      <c r="H56" s="54">
        <f t="shared" si="5"/>
        <v>11.578947368421053</v>
      </c>
    </row>
    <row r="57" spans="1:8" s="23" customFormat="1" ht="18" customHeight="1">
      <c r="A57" s="21"/>
      <c r="B57" s="13" t="s">
        <v>97</v>
      </c>
      <c r="C57" s="14">
        <f t="shared" si="6"/>
        <v>450000</v>
      </c>
      <c r="D57" s="32"/>
      <c r="E57" s="14">
        <f t="shared" si="4"/>
        <v>450000</v>
      </c>
      <c r="F57" s="14">
        <v>450000</v>
      </c>
      <c r="G57" s="14">
        <f>60000</f>
        <v>60000</v>
      </c>
      <c r="H57" s="54">
        <f t="shared" si="5"/>
        <v>13.333333333333334</v>
      </c>
    </row>
    <row r="58" spans="1:8" s="23" customFormat="1" ht="18" customHeight="1">
      <c r="A58" s="21"/>
      <c r="B58" s="13" t="s">
        <v>98</v>
      </c>
      <c r="C58" s="14">
        <f t="shared" si="6"/>
        <v>10000</v>
      </c>
      <c r="D58" s="32"/>
      <c r="E58" s="14">
        <f t="shared" si="4"/>
        <v>10000</v>
      </c>
      <c r="F58" s="14">
        <f>537000-527000</f>
        <v>10000</v>
      </c>
      <c r="G58" s="14"/>
      <c r="H58" s="65">
        <f t="shared" si="5"/>
        <v>0</v>
      </c>
    </row>
    <row r="59" spans="1:8" s="23" customFormat="1" ht="18" customHeight="1">
      <c r="A59" s="21"/>
      <c r="B59" s="13" t="s">
        <v>99</v>
      </c>
      <c r="C59" s="14">
        <f t="shared" si="6"/>
        <v>1384000</v>
      </c>
      <c r="D59" s="32"/>
      <c r="E59" s="14">
        <f t="shared" si="4"/>
        <v>1384000</v>
      </c>
      <c r="F59" s="14">
        <v>1384000</v>
      </c>
      <c r="G59" s="14"/>
      <c r="H59" s="65">
        <f t="shared" si="5"/>
        <v>0</v>
      </c>
    </row>
    <row r="60" spans="1:8" s="23" customFormat="1" ht="18" customHeight="1">
      <c r="A60" s="21"/>
      <c r="B60" s="13" t="s">
        <v>100</v>
      </c>
      <c r="C60" s="14">
        <f t="shared" si="6"/>
        <v>37043</v>
      </c>
      <c r="D60" s="32"/>
      <c r="E60" s="14">
        <f t="shared" si="4"/>
        <v>37043</v>
      </c>
      <c r="F60" s="14">
        <v>37043</v>
      </c>
      <c r="G60" s="14"/>
      <c r="H60" s="65">
        <f t="shared" si="5"/>
        <v>0</v>
      </c>
    </row>
    <row r="61" spans="1:8" s="23" customFormat="1" ht="18" customHeight="1">
      <c r="A61" s="21"/>
      <c r="B61" s="13" t="s">
        <v>101</v>
      </c>
      <c r="C61" s="14">
        <f t="shared" si="6"/>
        <v>120000</v>
      </c>
      <c r="D61" s="32"/>
      <c r="E61" s="14">
        <f t="shared" si="4"/>
        <v>120000</v>
      </c>
      <c r="F61" s="14">
        <f>1480000-1360000</f>
        <v>120000</v>
      </c>
      <c r="G61" s="14"/>
      <c r="H61" s="65">
        <f t="shared" si="5"/>
        <v>0</v>
      </c>
    </row>
    <row r="62" spans="1:8" s="23" customFormat="1" ht="18" customHeight="1">
      <c r="A62" s="21"/>
      <c r="B62" s="13" t="s">
        <v>102</v>
      </c>
      <c r="C62" s="14">
        <f t="shared" si="6"/>
        <v>1490000</v>
      </c>
      <c r="D62" s="32"/>
      <c r="E62" s="14">
        <f t="shared" si="4"/>
        <v>1490000</v>
      </c>
      <c r="F62" s="14">
        <v>1490000</v>
      </c>
      <c r="G62" s="14">
        <v>7500</v>
      </c>
      <c r="H62" s="54">
        <f t="shared" si="5"/>
        <v>0.5033557046979865</v>
      </c>
    </row>
    <row r="63" spans="1:8" s="23" customFormat="1" ht="18" customHeight="1">
      <c r="A63" s="21"/>
      <c r="B63" s="13" t="s">
        <v>103</v>
      </c>
      <c r="C63" s="14">
        <f t="shared" si="6"/>
        <v>10000</v>
      </c>
      <c r="D63" s="32"/>
      <c r="E63" s="14">
        <f t="shared" si="4"/>
        <v>10000</v>
      </c>
      <c r="F63" s="14">
        <f>2400000-2390000</f>
        <v>10000</v>
      </c>
      <c r="G63" s="14"/>
      <c r="H63" s="65">
        <f t="shared" si="5"/>
        <v>0</v>
      </c>
    </row>
    <row r="64" spans="1:8" s="23" customFormat="1" ht="18" customHeight="1">
      <c r="A64" s="21"/>
      <c r="B64" s="13" t="s">
        <v>30</v>
      </c>
      <c r="C64" s="14">
        <f t="shared" si="6"/>
        <v>563698.2</v>
      </c>
      <c r="D64" s="32"/>
      <c r="E64" s="14">
        <f t="shared" si="4"/>
        <v>563698.2</v>
      </c>
      <c r="F64" s="14">
        <f>363531+1878+198289.2</f>
        <v>563698.2</v>
      </c>
      <c r="G64" s="14">
        <f>356469</f>
        <v>356469</v>
      </c>
      <c r="H64" s="54">
        <f t="shared" si="5"/>
        <v>63.23756222744724</v>
      </c>
    </row>
    <row r="65" spans="1:8" s="23" customFormat="1" ht="18" customHeight="1">
      <c r="A65" s="21"/>
      <c r="B65" s="13" t="s">
        <v>104</v>
      </c>
      <c r="C65" s="14">
        <f t="shared" si="6"/>
        <v>990439.2</v>
      </c>
      <c r="D65" s="32"/>
      <c r="E65" s="14">
        <f t="shared" si="4"/>
        <v>990439.2</v>
      </c>
      <c r="F65" s="14">
        <f>283000+707439.2</f>
        <v>990439.2</v>
      </c>
      <c r="G65" s="14"/>
      <c r="H65" s="65">
        <f t="shared" si="5"/>
        <v>0</v>
      </c>
    </row>
    <row r="66" spans="1:8" s="23" customFormat="1" ht="18" customHeight="1">
      <c r="A66" s="21"/>
      <c r="B66" s="13" t="s">
        <v>105</v>
      </c>
      <c r="C66" s="14">
        <f t="shared" si="6"/>
        <v>350000</v>
      </c>
      <c r="D66" s="32"/>
      <c r="E66" s="14">
        <f t="shared" si="4"/>
        <v>350000</v>
      </c>
      <c r="F66" s="14">
        <f>700000-350000</f>
        <v>350000</v>
      </c>
      <c r="G66" s="14">
        <v>60000</v>
      </c>
      <c r="H66" s="54">
        <f t="shared" si="5"/>
        <v>17.142857142857142</v>
      </c>
    </row>
    <row r="67" spans="1:8" s="23" customFormat="1" ht="18" customHeight="1">
      <c r="A67" s="21"/>
      <c r="B67" s="13" t="s">
        <v>31</v>
      </c>
      <c r="C67" s="14">
        <f t="shared" si="6"/>
        <v>971238.81</v>
      </c>
      <c r="D67" s="32"/>
      <c r="E67" s="14">
        <f t="shared" si="4"/>
        <v>971238.81</v>
      </c>
      <c r="F67" s="14">
        <f>918000+53238.81</f>
        <v>971238.81</v>
      </c>
      <c r="G67" s="14"/>
      <c r="H67" s="65">
        <f t="shared" si="5"/>
        <v>0</v>
      </c>
    </row>
    <row r="68" spans="1:8" s="23" customFormat="1" ht="18" customHeight="1">
      <c r="A68" s="21"/>
      <c r="B68" s="13" t="s">
        <v>32</v>
      </c>
      <c r="C68" s="14">
        <f t="shared" si="6"/>
        <v>700000</v>
      </c>
      <c r="D68" s="32"/>
      <c r="E68" s="14">
        <f t="shared" si="4"/>
        <v>700000</v>
      </c>
      <c r="F68" s="14">
        <v>700000</v>
      </c>
      <c r="G68" s="14">
        <f>631827.24</f>
        <v>631827.24</v>
      </c>
      <c r="H68" s="54">
        <f t="shared" si="5"/>
        <v>90.26103428571429</v>
      </c>
    </row>
    <row r="69" spans="1:8" s="23" customFormat="1" ht="36">
      <c r="A69" s="21"/>
      <c r="B69" s="13" t="s">
        <v>33</v>
      </c>
      <c r="C69" s="14">
        <f t="shared" si="6"/>
        <v>3442224</v>
      </c>
      <c r="D69" s="32"/>
      <c r="E69" s="14">
        <f t="shared" si="4"/>
        <v>3442224</v>
      </c>
      <c r="F69" s="14">
        <v>3442224</v>
      </c>
      <c r="G69" s="14"/>
      <c r="H69" s="65">
        <f t="shared" si="5"/>
        <v>0</v>
      </c>
    </row>
    <row r="70" spans="1:8" s="23" customFormat="1" ht="18" customHeight="1">
      <c r="A70" s="21"/>
      <c r="B70" s="13" t="s">
        <v>106</v>
      </c>
      <c r="C70" s="14">
        <f t="shared" si="6"/>
        <v>500000</v>
      </c>
      <c r="D70" s="32"/>
      <c r="E70" s="14">
        <f t="shared" si="4"/>
        <v>500000</v>
      </c>
      <c r="F70" s="14">
        <f>1000000-500000</f>
        <v>500000</v>
      </c>
      <c r="G70" s="14">
        <v>78000</v>
      </c>
      <c r="H70" s="54">
        <f t="shared" si="5"/>
        <v>15.6</v>
      </c>
    </row>
    <row r="71" spans="1:8" s="23" customFormat="1" ht="36">
      <c r="A71" s="21"/>
      <c r="B71" s="13" t="s">
        <v>107</v>
      </c>
      <c r="C71" s="14">
        <f t="shared" si="6"/>
        <v>134745</v>
      </c>
      <c r="D71" s="32"/>
      <c r="E71" s="14">
        <f t="shared" si="4"/>
        <v>134745</v>
      </c>
      <c r="F71" s="14">
        <v>134745</v>
      </c>
      <c r="G71" s="14"/>
      <c r="H71" s="65">
        <f t="shared" si="5"/>
        <v>0</v>
      </c>
    </row>
    <row r="72" spans="1:8" s="23" customFormat="1" ht="18" customHeight="1">
      <c r="A72" s="21"/>
      <c r="B72" s="13" t="s">
        <v>190</v>
      </c>
      <c r="C72" s="14">
        <f t="shared" si="6"/>
        <v>100000</v>
      </c>
      <c r="D72" s="32"/>
      <c r="E72" s="14">
        <f t="shared" si="4"/>
        <v>100000</v>
      </c>
      <c r="F72" s="14">
        <f>1500000-1400000</f>
        <v>100000</v>
      </c>
      <c r="G72" s="14">
        <v>93000</v>
      </c>
      <c r="H72" s="54">
        <f t="shared" si="5"/>
        <v>93</v>
      </c>
    </row>
    <row r="73" spans="1:8" s="23" customFormat="1" ht="18" customHeight="1">
      <c r="A73" s="21"/>
      <c r="B73" s="13" t="s">
        <v>108</v>
      </c>
      <c r="C73" s="14">
        <f t="shared" si="6"/>
        <v>700000</v>
      </c>
      <c r="D73" s="32"/>
      <c r="E73" s="14">
        <f t="shared" si="4"/>
        <v>700000</v>
      </c>
      <c r="F73" s="14">
        <f>1300000-600000</f>
        <v>700000</v>
      </c>
      <c r="G73" s="14">
        <v>80000</v>
      </c>
      <c r="H73" s="54">
        <f t="shared" si="5"/>
        <v>11.428571428571429</v>
      </c>
    </row>
    <row r="74" spans="1:8" s="23" customFormat="1" ht="18" customHeight="1">
      <c r="A74" s="21"/>
      <c r="B74" s="13" t="s">
        <v>109</v>
      </c>
      <c r="C74" s="14">
        <f t="shared" si="6"/>
        <v>356592.92</v>
      </c>
      <c r="D74" s="32"/>
      <c r="E74" s="14">
        <f t="shared" si="4"/>
        <v>356592.92</v>
      </c>
      <c r="F74" s="14">
        <v>356592.92</v>
      </c>
      <c r="G74" s="14">
        <f>28000</f>
        <v>28000</v>
      </c>
      <c r="H74" s="54">
        <f t="shared" si="5"/>
        <v>7.852090837922414</v>
      </c>
    </row>
    <row r="75" spans="1:8" s="23" customFormat="1" ht="18" customHeight="1">
      <c r="A75" s="21"/>
      <c r="B75" s="13" t="s">
        <v>34</v>
      </c>
      <c r="C75" s="14">
        <f t="shared" si="6"/>
        <v>588015.05</v>
      </c>
      <c r="D75" s="32"/>
      <c r="E75" s="14">
        <f t="shared" si="4"/>
        <v>588015.05</v>
      </c>
      <c r="F75" s="14">
        <v>588015.05</v>
      </c>
      <c r="G75" s="14"/>
      <c r="H75" s="65">
        <f t="shared" si="5"/>
        <v>0</v>
      </c>
    </row>
    <row r="76" spans="1:8" s="23" customFormat="1" ht="18" customHeight="1">
      <c r="A76" s="21"/>
      <c r="B76" s="13" t="s">
        <v>35</v>
      </c>
      <c r="C76" s="14">
        <f t="shared" si="6"/>
        <v>4898912.05</v>
      </c>
      <c r="D76" s="32"/>
      <c r="E76" s="14">
        <f t="shared" si="4"/>
        <v>4898912.05</v>
      </c>
      <c r="F76" s="14">
        <v>4898912.05</v>
      </c>
      <c r="G76" s="14"/>
      <c r="H76" s="65">
        <f t="shared" si="5"/>
        <v>0</v>
      </c>
    </row>
    <row r="77" spans="1:8" s="23" customFormat="1" ht="18" customHeight="1">
      <c r="A77" s="21"/>
      <c r="B77" s="13" t="s">
        <v>110</v>
      </c>
      <c r="C77" s="14">
        <f t="shared" si="6"/>
        <v>80000</v>
      </c>
      <c r="D77" s="32"/>
      <c r="E77" s="14">
        <f t="shared" si="4"/>
        <v>80000</v>
      </c>
      <c r="F77" s="14">
        <f>750000-670000</f>
        <v>80000</v>
      </c>
      <c r="G77" s="14">
        <f>80000</f>
        <v>80000</v>
      </c>
      <c r="H77" s="54">
        <f t="shared" si="5"/>
        <v>100</v>
      </c>
    </row>
    <row r="78" spans="1:8" s="23" customFormat="1" ht="39" customHeight="1">
      <c r="A78" s="21"/>
      <c r="B78" s="13" t="s">
        <v>36</v>
      </c>
      <c r="C78" s="14">
        <f t="shared" si="6"/>
        <v>1500000</v>
      </c>
      <c r="D78" s="32"/>
      <c r="E78" s="14">
        <f t="shared" si="4"/>
        <v>1500000</v>
      </c>
      <c r="F78" s="14">
        <f>3655000-2155000</f>
        <v>1500000</v>
      </c>
      <c r="G78" s="14"/>
      <c r="H78" s="65">
        <f t="shared" si="5"/>
        <v>0</v>
      </c>
    </row>
    <row r="79" spans="1:8" s="23" customFormat="1" ht="18" customHeight="1">
      <c r="A79" s="21"/>
      <c r="B79" s="13" t="s">
        <v>37</v>
      </c>
      <c r="C79" s="14">
        <f t="shared" si="6"/>
        <v>298246.8</v>
      </c>
      <c r="D79" s="32"/>
      <c r="E79" s="14">
        <f t="shared" si="4"/>
        <v>298246.8</v>
      </c>
      <c r="F79" s="14">
        <f>272000+26246.8</f>
        <v>298246.8</v>
      </c>
      <c r="G79" s="14"/>
      <c r="H79" s="65">
        <f t="shared" si="5"/>
        <v>0</v>
      </c>
    </row>
    <row r="80" spans="1:8" s="23" customFormat="1" ht="18" customHeight="1">
      <c r="A80" s="21"/>
      <c r="B80" s="13" t="s">
        <v>111</v>
      </c>
      <c r="C80" s="14">
        <f t="shared" si="6"/>
        <v>400962.80000000005</v>
      </c>
      <c r="D80" s="32"/>
      <c r="E80" s="14">
        <f t="shared" si="4"/>
        <v>400962.80000000005</v>
      </c>
      <c r="F80" s="14">
        <f>477000+100962.8-177000</f>
        <v>400962.80000000005</v>
      </c>
      <c r="G80" s="14"/>
      <c r="H80" s="65">
        <f t="shared" si="5"/>
        <v>0</v>
      </c>
    </row>
    <row r="81" spans="1:8" s="23" customFormat="1" ht="18" customHeight="1">
      <c r="A81" s="21"/>
      <c r="B81" s="13" t="s">
        <v>39</v>
      </c>
      <c r="C81" s="14">
        <f t="shared" si="6"/>
        <v>640000</v>
      </c>
      <c r="D81" s="32"/>
      <c r="E81" s="14">
        <f>F81</f>
        <v>640000</v>
      </c>
      <c r="F81" s="14">
        <v>640000</v>
      </c>
      <c r="G81" s="14">
        <f>525585</f>
        <v>525585</v>
      </c>
      <c r="H81" s="54">
        <f t="shared" si="5"/>
        <v>82.12265625</v>
      </c>
    </row>
    <row r="82" spans="1:8" s="23" customFormat="1" ht="18" customHeight="1">
      <c r="A82" s="21"/>
      <c r="B82" s="13" t="s">
        <v>40</v>
      </c>
      <c r="C82" s="14">
        <f t="shared" si="6"/>
        <v>56033.83</v>
      </c>
      <c r="D82" s="32"/>
      <c r="E82" s="14">
        <f>F82</f>
        <v>56033.83</v>
      </c>
      <c r="F82" s="14">
        <v>56033.83</v>
      </c>
      <c r="G82" s="14">
        <f>54212.15</f>
        <v>54212.15</v>
      </c>
      <c r="H82" s="54">
        <f t="shared" si="5"/>
        <v>96.74896397408494</v>
      </c>
    </row>
    <row r="83" spans="1:8" s="23" customFormat="1" ht="18" customHeight="1">
      <c r="A83" s="21"/>
      <c r="B83" s="13" t="s">
        <v>38</v>
      </c>
      <c r="C83" s="14">
        <f t="shared" si="6"/>
        <v>341685.56</v>
      </c>
      <c r="D83" s="32"/>
      <c r="E83" s="14">
        <f>F83</f>
        <v>341685.56</v>
      </c>
      <c r="F83" s="14">
        <v>341685.56</v>
      </c>
      <c r="G83" s="14"/>
      <c r="H83" s="65">
        <f t="shared" si="5"/>
        <v>0</v>
      </c>
    </row>
    <row r="84" spans="1:8" s="23" customFormat="1" ht="18" customHeight="1">
      <c r="A84" s="21"/>
      <c r="B84" s="13" t="s">
        <v>112</v>
      </c>
      <c r="C84" s="14">
        <f t="shared" si="6"/>
        <v>5100000</v>
      </c>
      <c r="D84" s="32"/>
      <c r="E84" s="14">
        <f>F84</f>
        <v>5100000</v>
      </c>
      <c r="F84" s="14">
        <f>1500000+3600000</f>
        <v>5100000</v>
      </c>
      <c r="G84" s="14">
        <f>67940</f>
        <v>67940</v>
      </c>
      <c r="H84" s="54">
        <f t="shared" si="5"/>
        <v>1.3321568627450981</v>
      </c>
    </row>
    <row r="85" spans="1:8" s="23" customFormat="1" ht="18" customHeight="1" hidden="1">
      <c r="A85" s="21"/>
      <c r="B85" s="13" t="s">
        <v>113</v>
      </c>
      <c r="C85" s="14">
        <f t="shared" si="6"/>
        <v>0</v>
      </c>
      <c r="D85" s="32"/>
      <c r="E85" s="14">
        <f>F85</f>
        <v>0</v>
      </c>
      <c r="F85" s="14">
        <f>10354105-5000000-5354105</f>
        <v>0</v>
      </c>
      <c r="G85" s="14"/>
      <c r="H85" s="65" t="e">
        <f t="shared" si="5"/>
        <v>#DIV/0!</v>
      </c>
    </row>
    <row r="86" spans="6:8" ht="18" customHeight="1">
      <c r="F86" s="14"/>
      <c r="G86" s="10"/>
      <c r="H86" s="54"/>
    </row>
    <row r="87" spans="1:8" s="23" customFormat="1" ht="18" customHeight="1">
      <c r="A87" s="59"/>
      <c r="B87" s="45" t="s">
        <v>18</v>
      </c>
      <c r="C87" s="60"/>
      <c r="D87" s="60"/>
      <c r="E87" s="60"/>
      <c r="F87" s="60"/>
      <c r="G87" s="60"/>
      <c r="H87" s="46"/>
    </row>
    <row r="88" spans="1:8" s="23" customFormat="1" ht="17.25">
      <c r="A88" s="4">
        <v>2</v>
      </c>
      <c r="B88" s="5" t="s">
        <v>3</v>
      </c>
      <c r="C88" s="6">
        <f>C89+C91</f>
        <v>146971732.01000002</v>
      </c>
      <c r="D88" s="6">
        <f>D89</f>
        <v>420000</v>
      </c>
      <c r="E88" s="6">
        <f>E89+E91</f>
        <v>146551732.01000002</v>
      </c>
      <c r="F88" s="6">
        <f>F89+F91</f>
        <v>146551732.01000002</v>
      </c>
      <c r="G88" s="6">
        <f>G89+G91</f>
        <v>45607830.809999995</v>
      </c>
      <c r="H88" s="6">
        <f>H89+H91</f>
        <v>31.120635822228238</v>
      </c>
    </row>
    <row r="89" spans="1:8" s="23" customFormat="1" ht="17.25">
      <c r="A89" s="43"/>
      <c r="B89" s="31" t="s">
        <v>5</v>
      </c>
      <c r="C89" s="32">
        <f>C90</f>
        <v>420000</v>
      </c>
      <c r="D89" s="32">
        <f>SUM(D90:D97)+D98</f>
        <v>420000</v>
      </c>
      <c r="E89" s="44"/>
      <c r="F89" s="52"/>
      <c r="G89" s="32">
        <f>G90</f>
        <v>0</v>
      </c>
      <c r="H89" s="32">
        <f>(G89/(D89))*100</f>
        <v>0</v>
      </c>
    </row>
    <row r="90" spans="1:8" s="23" customFormat="1" ht="18">
      <c r="A90" s="43"/>
      <c r="B90" s="13" t="s">
        <v>8</v>
      </c>
      <c r="C90" s="14">
        <f>D90</f>
        <v>420000</v>
      </c>
      <c r="D90" s="14">
        <f>20000000-4580000-15000000</f>
        <v>420000</v>
      </c>
      <c r="E90" s="44"/>
      <c r="F90" s="52"/>
      <c r="G90" s="29"/>
      <c r="H90" s="32"/>
    </row>
    <row r="91" spans="1:8" s="34" customFormat="1" ht="18" customHeight="1">
      <c r="A91" s="33"/>
      <c r="B91" s="31" t="s">
        <v>17</v>
      </c>
      <c r="C91" s="35">
        <f>SUM(C92:C140)</f>
        <v>146551732.01000002</v>
      </c>
      <c r="D91" s="35"/>
      <c r="E91" s="35">
        <f>SUM(E92:E140)</f>
        <v>146551732.01000002</v>
      </c>
      <c r="F91" s="53">
        <f>SUM(F92:F140)</f>
        <v>146551732.01000002</v>
      </c>
      <c r="G91" s="53">
        <f>SUM(G92:G140)</f>
        <v>45607830.809999995</v>
      </c>
      <c r="H91" s="32">
        <f>(G91/(E91))*100</f>
        <v>31.120635822228238</v>
      </c>
    </row>
    <row r="92" spans="1:8" s="23" customFormat="1" ht="30" customHeight="1">
      <c r="A92" s="21"/>
      <c r="B92" s="13" t="s">
        <v>43</v>
      </c>
      <c r="C92" s="14">
        <f>E92</f>
        <v>1400000</v>
      </c>
      <c r="D92" s="17"/>
      <c r="E92" s="14">
        <f>F92</f>
        <v>1400000</v>
      </c>
      <c r="F92" s="14">
        <v>1400000</v>
      </c>
      <c r="G92" s="14">
        <f>207831.83</f>
        <v>207831.83</v>
      </c>
      <c r="H92" s="14">
        <f aca="true" t="shared" si="7" ref="H92:H136">(G92/(E92))*100</f>
        <v>14.845130714285714</v>
      </c>
    </row>
    <row r="93" spans="1:8" s="23" customFormat="1" ht="18" customHeight="1">
      <c r="A93" s="21"/>
      <c r="B93" s="13" t="s">
        <v>114</v>
      </c>
      <c r="C93" s="14">
        <f>E93</f>
        <v>1450000</v>
      </c>
      <c r="D93" s="17"/>
      <c r="E93" s="14">
        <f>F93</f>
        <v>1450000</v>
      </c>
      <c r="F93" s="14">
        <v>1450000</v>
      </c>
      <c r="G93" s="14">
        <f>46900</f>
        <v>46900</v>
      </c>
      <c r="H93" s="14">
        <f t="shared" si="7"/>
        <v>3.2344827586206897</v>
      </c>
    </row>
    <row r="94" spans="1:8" s="23" customFormat="1" ht="22.5" customHeight="1">
      <c r="A94" s="21"/>
      <c r="B94" s="13" t="s">
        <v>41</v>
      </c>
      <c r="C94" s="14">
        <f>E94</f>
        <v>843928</v>
      </c>
      <c r="D94" s="17"/>
      <c r="E94" s="14">
        <f>F94</f>
        <v>843928</v>
      </c>
      <c r="F94" s="14">
        <v>843928</v>
      </c>
      <c r="G94" s="14">
        <f>9178.47</f>
        <v>9178.47</v>
      </c>
      <c r="H94" s="14">
        <f t="shared" si="7"/>
        <v>1.087589225621143</v>
      </c>
    </row>
    <row r="95" spans="1:8" s="23" customFormat="1" ht="22.5" customHeight="1">
      <c r="A95" s="21"/>
      <c r="B95" s="13" t="s">
        <v>194</v>
      </c>
      <c r="C95" s="14">
        <f aca="true" t="shared" si="8" ref="C95:C126">E95</f>
        <v>1300000</v>
      </c>
      <c r="D95" s="17"/>
      <c r="E95" s="14">
        <f aca="true" t="shared" si="9" ref="E95:E126">F95</f>
        <v>1300000</v>
      </c>
      <c r="F95" s="14">
        <v>1300000</v>
      </c>
      <c r="G95" s="14"/>
      <c r="H95" s="66">
        <f t="shared" si="7"/>
        <v>0</v>
      </c>
    </row>
    <row r="96" spans="1:8" s="23" customFormat="1" ht="22.5" customHeight="1">
      <c r="A96" s="21"/>
      <c r="B96" s="13" t="s">
        <v>115</v>
      </c>
      <c r="C96" s="14">
        <f t="shared" si="8"/>
        <v>1360000</v>
      </c>
      <c r="D96" s="17"/>
      <c r="E96" s="14">
        <f t="shared" si="9"/>
        <v>1360000</v>
      </c>
      <c r="F96" s="14">
        <f>1450000-90000</f>
        <v>1360000</v>
      </c>
      <c r="G96" s="14">
        <f>46900</f>
        <v>46900</v>
      </c>
      <c r="H96" s="14">
        <f t="shared" si="7"/>
        <v>3.4485294117647056</v>
      </c>
    </row>
    <row r="97" spans="1:8" s="23" customFormat="1" ht="22.5" customHeight="1">
      <c r="A97" s="21"/>
      <c r="B97" s="13" t="s">
        <v>116</v>
      </c>
      <c r="C97" s="14">
        <f t="shared" si="8"/>
        <v>1450000</v>
      </c>
      <c r="D97" s="17"/>
      <c r="E97" s="14">
        <f t="shared" si="9"/>
        <v>1450000</v>
      </c>
      <c r="F97" s="14">
        <v>1450000</v>
      </c>
      <c r="G97" s="14"/>
      <c r="H97" s="66">
        <f t="shared" si="7"/>
        <v>0</v>
      </c>
    </row>
    <row r="98" spans="1:8" s="23" customFormat="1" ht="22.5" customHeight="1">
      <c r="A98" s="21"/>
      <c r="B98" s="13" t="s">
        <v>117</v>
      </c>
      <c r="C98" s="14">
        <f t="shared" si="8"/>
        <v>200000</v>
      </c>
      <c r="D98" s="17"/>
      <c r="E98" s="14">
        <f t="shared" si="9"/>
        <v>200000</v>
      </c>
      <c r="F98" s="14">
        <v>200000</v>
      </c>
      <c r="G98" s="14">
        <f>9355</f>
        <v>9355</v>
      </c>
      <c r="H98" s="14">
        <f t="shared" si="7"/>
        <v>4.677499999999999</v>
      </c>
    </row>
    <row r="99" spans="1:8" s="23" customFormat="1" ht="22.5" customHeight="1">
      <c r="A99" s="21"/>
      <c r="B99" s="13" t="s">
        <v>118</v>
      </c>
      <c r="C99" s="14">
        <f t="shared" si="8"/>
        <v>1400000</v>
      </c>
      <c r="D99" s="17"/>
      <c r="E99" s="14">
        <f t="shared" si="9"/>
        <v>1400000</v>
      </c>
      <c r="F99" s="14">
        <v>1400000</v>
      </c>
      <c r="G99" s="14"/>
      <c r="H99" s="66">
        <f t="shared" si="7"/>
        <v>0</v>
      </c>
    </row>
    <row r="100" spans="1:8" s="23" customFormat="1" ht="22.5" customHeight="1">
      <c r="A100" s="21"/>
      <c r="B100" s="13" t="s">
        <v>42</v>
      </c>
      <c r="C100" s="14">
        <f t="shared" si="8"/>
        <v>838910</v>
      </c>
      <c r="D100" s="17"/>
      <c r="E100" s="14">
        <f t="shared" si="9"/>
        <v>838910</v>
      </c>
      <c r="F100" s="14">
        <v>838910</v>
      </c>
      <c r="G100" s="14">
        <f>299000+11747.5</f>
        <v>310747.5</v>
      </c>
      <c r="H100" s="14">
        <f t="shared" si="7"/>
        <v>37.04181616621568</v>
      </c>
    </row>
    <row r="101" spans="1:8" s="23" customFormat="1" ht="22.5" customHeight="1">
      <c r="A101" s="21"/>
      <c r="B101" s="13" t="s">
        <v>119</v>
      </c>
      <c r="C101" s="14">
        <f t="shared" si="8"/>
        <v>18531</v>
      </c>
      <c r="D101" s="17"/>
      <c r="E101" s="14">
        <f t="shared" si="9"/>
        <v>18531</v>
      </c>
      <c r="F101" s="14">
        <v>18531</v>
      </c>
      <c r="G101" s="14"/>
      <c r="H101" s="66">
        <f t="shared" si="7"/>
        <v>0</v>
      </c>
    </row>
    <row r="102" spans="1:8" s="23" customFormat="1" ht="22.5" customHeight="1">
      <c r="A102" s="21"/>
      <c r="B102" s="13" t="s">
        <v>44</v>
      </c>
      <c r="C102" s="14">
        <f t="shared" si="8"/>
        <v>225374.49</v>
      </c>
      <c r="D102" s="17"/>
      <c r="E102" s="14">
        <f t="shared" si="9"/>
        <v>225374.49</v>
      </c>
      <c r="F102" s="14">
        <v>225374.49</v>
      </c>
      <c r="G102" s="14"/>
      <c r="H102" s="66">
        <f t="shared" si="7"/>
        <v>0</v>
      </c>
    </row>
    <row r="103" spans="1:8" s="23" customFormat="1" ht="22.5" customHeight="1">
      <c r="A103" s="21"/>
      <c r="B103" s="13" t="s">
        <v>45</v>
      </c>
      <c r="C103" s="14">
        <f t="shared" si="8"/>
        <v>5493486.05</v>
      </c>
      <c r="D103" s="17"/>
      <c r="E103" s="14">
        <f t="shared" si="9"/>
        <v>5493486.05</v>
      </c>
      <c r="F103" s="14">
        <f>1493486.05+4000000</f>
        <v>5493486.05</v>
      </c>
      <c r="G103" s="14">
        <f>358785.83+44621.69+658538.27+7400.77+240000-10008.48</f>
        <v>1299338.08</v>
      </c>
      <c r="H103" s="14">
        <f t="shared" si="7"/>
        <v>23.652341485421633</v>
      </c>
    </row>
    <row r="104" spans="1:8" s="23" customFormat="1" ht="22.5" customHeight="1">
      <c r="A104" s="21"/>
      <c r="B104" s="13" t="s">
        <v>46</v>
      </c>
      <c r="C104" s="14">
        <f t="shared" si="8"/>
        <v>8900000</v>
      </c>
      <c r="D104" s="17"/>
      <c r="E104" s="14">
        <f t="shared" si="9"/>
        <v>8900000</v>
      </c>
      <c r="F104" s="14">
        <v>8900000</v>
      </c>
      <c r="G104" s="14">
        <f>1136331.6+29810.35</f>
        <v>1166141.9500000002</v>
      </c>
      <c r="H104" s="14">
        <f t="shared" si="7"/>
        <v>13.102718539325844</v>
      </c>
    </row>
    <row r="105" spans="1:8" s="23" customFormat="1" ht="22.5" customHeight="1">
      <c r="A105" s="21"/>
      <c r="B105" s="13" t="s">
        <v>120</v>
      </c>
      <c r="C105" s="14">
        <f t="shared" si="8"/>
        <v>1832328.6</v>
      </c>
      <c r="D105" s="17"/>
      <c r="E105" s="14">
        <f t="shared" si="9"/>
        <v>1832328.6</v>
      </c>
      <c r="F105" s="14">
        <v>1832328.6</v>
      </c>
      <c r="G105" s="14">
        <f>13476.43</f>
        <v>13476.43</v>
      </c>
      <c r="H105" s="14">
        <f t="shared" si="7"/>
        <v>0.7354810703713297</v>
      </c>
    </row>
    <row r="106" spans="1:8" s="23" customFormat="1" ht="21" customHeight="1">
      <c r="A106" s="21"/>
      <c r="B106" s="13" t="s">
        <v>47</v>
      </c>
      <c r="C106" s="14">
        <f t="shared" si="8"/>
        <v>30773906.64</v>
      </c>
      <c r="D106" s="17"/>
      <c r="E106" s="14">
        <f t="shared" si="9"/>
        <v>30773906.64</v>
      </c>
      <c r="F106" s="14">
        <f>30000000-4226093.36+5000000</f>
        <v>30773906.64</v>
      </c>
      <c r="G106" s="14">
        <f>4995872.38+14120877.63+42574.94+5415057.81</f>
        <v>24574382.76</v>
      </c>
      <c r="H106" s="14">
        <f t="shared" si="7"/>
        <v>79.85460880048994</v>
      </c>
    </row>
    <row r="107" spans="1:8" s="23" customFormat="1" ht="22.5" customHeight="1">
      <c r="A107" s="21"/>
      <c r="B107" s="13" t="s">
        <v>121</v>
      </c>
      <c r="C107" s="14">
        <f t="shared" si="8"/>
        <v>900000</v>
      </c>
      <c r="D107" s="17"/>
      <c r="E107" s="14">
        <f t="shared" si="9"/>
        <v>900000</v>
      </c>
      <c r="F107" s="14">
        <v>900000</v>
      </c>
      <c r="G107" s="14"/>
      <c r="H107" s="66">
        <f t="shared" si="7"/>
        <v>0</v>
      </c>
    </row>
    <row r="108" spans="1:8" s="23" customFormat="1" ht="22.5" customHeight="1">
      <c r="A108" s="21"/>
      <c r="B108" s="13" t="s">
        <v>192</v>
      </c>
      <c r="C108" s="14">
        <f t="shared" si="8"/>
        <v>4415679.03</v>
      </c>
      <c r="D108" s="17"/>
      <c r="E108" s="14">
        <f t="shared" si="9"/>
        <v>4415679.03</v>
      </c>
      <c r="F108" s="14">
        <v>4415679.03</v>
      </c>
      <c r="G108" s="14"/>
      <c r="H108" s="66">
        <f t="shared" si="7"/>
        <v>0</v>
      </c>
    </row>
    <row r="109" spans="1:8" s="23" customFormat="1" ht="22.5" customHeight="1">
      <c r="A109" s="21"/>
      <c r="B109" s="13" t="s">
        <v>122</v>
      </c>
      <c r="C109" s="14">
        <f t="shared" si="8"/>
        <v>50000</v>
      </c>
      <c r="D109" s="17"/>
      <c r="E109" s="14">
        <f t="shared" si="9"/>
        <v>50000</v>
      </c>
      <c r="F109" s="14">
        <v>50000</v>
      </c>
      <c r="G109" s="14">
        <f>25908</f>
        <v>25908</v>
      </c>
      <c r="H109" s="14">
        <f t="shared" si="7"/>
        <v>51.815999999999995</v>
      </c>
    </row>
    <row r="110" spans="1:8" s="23" customFormat="1" ht="22.5" customHeight="1">
      <c r="A110" s="21"/>
      <c r="B110" s="13" t="s">
        <v>48</v>
      </c>
      <c r="C110" s="14">
        <f t="shared" si="8"/>
        <v>28662</v>
      </c>
      <c r="D110" s="17"/>
      <c r="E110" s="14">
        <f t="shared" si="9"/>
        <v>28662</v>
      </c>
      <c r="F110" s="14">
        <v>28662</v>
      </c>
      <c r="G110" s="14"/>
      <c r="H110" s="66">
        <f t="shared" si="7"/>
        <v>0</v>
      </c>
    </row>
    <row r="111" spans="1:8" s="23" customFormat="1" ht="22.5" customHeight="1">
      <c r="A111" s="21"/>
      <c r="B111" s="13" t="s">
        <v>49</v>
      </c>
      <c r="C111" s="14">
        <f t="shared" si="8"/>
        <v>587032</v>
      </c>
      <c r="D111" s="17"/>
      <c r="E111" s="14">
        <f t="shared" si="9"/>
        <v>587032</v>
      </c>
      <c r="F111" s="14">
        <v>587032</v>
      </c>
      <c r="G111" s="14">
        <f>33642</f>
        <v>33642</v>
      </c>
      <c r="H111" s="14">
        <f t="shared" si="7"/>
        <v>5.730863053462162</v>
      </c>
    </row>
    <row r="112" spans="1:8" s="23" customFormat="1" ht="22.5" customHeight="1">
      <c r="A112" s="21"/>
      <c r="B112" s="13" t="s">
        <v>123</v>
      </c>
      <c r="C112" s="14">
        <f t="shared" si="8"/>
        <v>100000</v>
      </c>
      <c r="D112" s="17"/>
      <c r="E112" s="14">
        <f t="shared" si="9"/>
        <v>100000</v>
      </c>
      <c r="F112" s="14">
        <v>100000</v>
      </c>
      <c r="G112" s="14"/>
      <c r="H112" s="66">
        <f t="shared" si="7"/>
        <v>0</v>
      </c>
    </row>
    <row r="113" spans="1:8" s="34" customFormat="1" ht="22.5" customHeight="1">
      <c r="A113" s="21"/>
      <c r="B113" s="13" t="s">
        <v>188</v>
      </c>
      <c r="C113" s="14">
        <f>E113</f>
        <v>500000</v>
      </c>
      <c r="D113" s="17"/>
      <c r="E113" s="56">
        <f>F113</f>
        <v>500000</v>
      </c>
      <c r="F113" s="14">
        <v>500000</v>
      </c>
      <c r="G113" s="14"/>
      <c r="H113" s="128"/>
    </row>
    <row r="114" spans="1:8" s="23" customFormat="1" ht="22.5" customHeight="1">
      <c r="A114" s="21"/>
      <c r="B114" s="13" t="s">
        <v>124</v>
      </c>
      <c r="C114" s="14">
        <f t="shared" si="8"/>
        <v>1241860</v>
      </c>
      <c r="D114" s="17"/>
      <c r="E114" s="14">
        <f t="shared" si="9"/>
        <v>1241860</v>
      </c>
      <c r="F114" s="14">
        <v>1241860</v>
      </c>
      <c r="G114" s="14"/>
      <c r="H114" s="66">
        <f t="shared" si="7"/>
        <v>0</v>
      </c>
    </row>
    <row r="115" spans="1:8" s="23" customFormat="1" ht="22.5" customHeight="1">
      <c r="A115" s="21"/>
      <c r="B115" s="13" t="s">
        <v>125</v>
      </c>
      <c r="C115" s="14">
        <f t="shared" si="8"/>
        <v>1389770</v>
      </c>
      <c r="D115" s="17"/>
      <c r="E115" s="14">
        <f t="shared" si="9"/>
        <v>1389770</v>
      </c>
      <c r="F115" s="14">
        <f>1439770-50000</f>
        <v>1389770</v>
      </c>
      <c r="G115" s="14"/>
      <c r="H115" s="66">
        <f t="shared" si="7"/>
        <v>0</v>
      </c>
    </row>
    <row r="116" spans="1:8" s="23" customFormat="1" ht="22.5" customHeight="1">
      <c r="A116" s="21"/>
      <c r="B116" s="13" t="s">
        <v>50</v>
      </c>
      <c r="C116" s="14">
        <f t="shared" si="8"/>
        <v>6015289.85</v>
      </c>
      <c r="D116" s="17"/>
      <c r="E116" s="14">
        <f t="shared" si="9"/>
        <v>6015289.85</v>
      </c>
      <c r="F116" s="14">
        <v>6015289.85</v>
      </c>
      <c r="G116" s="14">
        <f>5520</f>
        <v>5520</v>
      </c>
      <c r="H116" s="14">
        <f t="shared" si="7"/>
        <v>0.09176615155128394</v>
      </c>
    </row>
    <row r="117" spans="1:8" s="23" customFormat="1" ht="22.5" customHeight="1">
      <c r="A117" s="21"/>
      <c r="B117" s="13" t="s">
        <v>126</v>
      </c>
      <c r="C117" s="14">
        <f t="shared" si="8"/>
        <v>869890</v>
      </c>
      <c r="D117" s="17"/>
      <c r="E117" s="14">
        <f t="shared" si="9"/>
        <v>869890</v>
      </c>
      <c r="F117" s="14">
        <v>869890</v>
      </c>
      <c r="G117" s="14"/>
      <c r="H117" s="66">
        <f t="shared" si="7"/>
        <v>0</v>
      </c>
    </row>
    <row r="118" spans="1:8" s="23" customFormat="1" ht="22.5" customHeight="1">
      <c r="A118" s="21"/>
      <c r="B118" s="13" t="s">
        <v>51</v>
      </c>
      <c r="C118" s="14">
        <f t="shared" si="8"/>
        <v>19000000</v>
      </c>
      <c r="D118" s="17"/>
      <c r="E118" s="14">
        <f t="shared" si="9"/>
        <v>19000000</v>
      </c>
      <c r="F118" s="14">
        <f>20000000-1000000</f>
        <v>19000000</v>
      </c>
      <c r="G118" s="14">
        <f>1601127.14+6022765.45</f>
        <v>7623892.59</v>
      </c>
      <c r="H118" s="14">
        <f t="shared" si="7"/>
        <v>40.12575047368421</v>
      </c>
    </row>
    <row r="119" spans="1:8" s="23" customFormat="1" ht="22.5" customHeight="1">
      <c r="A119" s="21"/>
      <c r="B119" s="13" t="s">
        <v>127</v>
      </c>
      <c r="C119" s="14">
        <f t="shared" si="8"/>
        <v>1306865</v>
      </c>
      <c r="D119" s="17"/>
      <c r="E119" s="14">
        <f t="shared" si="9"/>
        <v>1306865</v>
      </c>
      <c r="F119" s="14">
        <v>1306865</v>
      </c>
      <c r="G119" s="14">
        <f>415300+359500</f>
        <v>774800</v>
      </c>
      <c r="H119" s="14">
        <f t="shared" si="7"/>
        <v>59.28691945992891</v>
      </c>
    </row>
    <row r="120" spans="1:8" s="23" customFormat="1" ht="22.5" customHeight="1">
      <c r="A120" s="21"/>
      <c r="B120" s="13" t="s">
        <v>128</v>
      </c>
      <c r="C120" s="14">
        <f t="shared" si="8"/>
        <v>0</v>
      </c>
      <c r="D120" s="17"/>
      <c r="E120" s="14">
        <f t="shared" si="9"/>
        <v>0</v>
      </c>
      <c r="F120" s="14">
        <f>200000-200000</f>
        <v>0</v>
      </c>
      <c r="G120" s="14"/>
      <c r="H120" s="66" t="e">
        <f t="shared" si="7"/>
        <v>#DIV/0!</v>
      </c>
    </row>
    <row r="121" spans="1:8" s="23" customFormat="1" ht="22.5" customHeight="1">
      <c r="A121" s="21"/>
      <c r="B121" s="13" t="s">
        <v>193</v>
      </c>
      <c r="C121" s="14">
        <f t="shared" si="8"/>
        <v>450000</v>
      </c>
      <c r="D121" s="17"/>
      <c r="E121" s="14">
        <f t="shared" si="9"/>
        <v>450000</v>
      </c>
      <c r="F121" s="14">
        <v>450000</v>
      </c>
      <c r="G121" s="14"/>
      <c r="H121" s="66">
        <f t="shared" si="7"/>
        <v>0</v>
      </c>
    </row>
    <row r="122" spans="1:8" s="23" customFormat="1" ht="22.5" customHeight="1">
      <c r="A122" s="21"/>
      <c r="B122" s="13" t="s">
        <v>129</v>
      </c>
      <c r="C122" s="14">
        <f t="shared" si="8"/>
        <v>1047000</v>
      </c>
      <c r="D122" s="17"/>
      <c r="E122" s="14">
        <f t="shared" si="9"/>
        <v>1047000</v>
      </c>
      <c r="F122" s="14">
        <v>1047000</v>
      </c>
      <c r="G122" s="14">
        <f>71900</f>
        <v>71900</v>
      </c>
      <c r="H122" s="14">
        <f t="shared" si="7"/>
        <v>6.867239732569246</v>
      </c>
    </row>
    <row r="123" spans="1:8" s="23" customFormat="1" ht="22.5" customHeight="1">
      <c r="A123" s="21"/>
      <c r="B123" s="13" t="s">
        <v>130</v>
      </c>
      <c r="C123" s="14">
        <f t="shared" si="8"/>
        <v>7625000</v>
      </c>
      <c r="D123" s="17"/>
      <c r="E123" s="14">
        <f t="shared" si="9"/>
        <v>7625000</v>
      </c>
      <c r="F123" s="14">
        <f>6625000-5000000+7000000-1000000</f>
        <v>7625000</v>
      </c>
      <c r="G123" s="14">
        <f>514873.6</f>
        <v>514873.6</v>
      </c>
      <c r="H123" s="14">
        <f t="shared" si="7"/>
        <v>6.752440655737704</v>
      </c>
    </row>
    <row r="124" spans="1:8" s="23" customFormat="1" ht="22.5" customHeight="1">
      <c r="A124" s="21"/>
      <c r="B124" s="13" t="s">
        <v>52</v>
      </c>
      <c r="C124" s="14">
        <f t="shared" si="8"/>
        <v>653455</v>
      </c>
      <c r="D124" s="17"/>
      <c r="E124" s="14">
        <f t="shared" si="9"/>
        <v>653455</v>
      </c>
      <c r="F124" s="14">
        <v>653455</v>
      </c>
      <c r="G124" s="14">
        <f>400450</f>
        <v>400450</v>
      </c>
      <c r="H124" s="14">
        <f t="shared" si="7"/>
        <v>61.28195514610799</v>
      </c>
    </row>
    <row r="125" spans="1:8" s="23" customFormat="1" ht="22.5" customHeight="1">
      <c r="A125" s="21"/>
      <c r="B125" s="13" t="s">
        <v>131</v>
      </c>
      <c r="C125" s="14">
        <f t="shared" si="8"/>
        <v>120000</v>
      </c>
      <c r="D125" s="17"/>
      <c r="E125" s="14">
        <f t="shared" si="9"/>
        <v>120000</v>
      </c>
      <c r="F125" s="14">
        <v>120000</v>
      </c>
      <c r="G125" s="14"/>
      <c r="H125" s="66">
        <f t="shared" si="7"/>
        <v>0</v>
      </c>
    </row>
    <row r="126" spans="1:8" s="23" customFormat="1" ht="22.5" customHeight="1">
      <c r="A126" s="21"/>
      <c r="B126" s="13" t="s">
        <v>132</v>
      </c>
      <c r="C126" s="14">
        <f t="shared" si="8"/>
        <v>1098615</v>
      </c>
      <c r="D126" s="17"/>
      <c r="E126" s="14">
        <f t="shared" si="9"/>
        <v>1098615</v>
      </c>
      <c r="F126" s="14">
        <v>1098615</v>
      </c>
      <c r="G126" s="14">
        <f>612700</f>
        <v>612700</v>
      </c>
      <c r="H126" s="14">
        <f t="shared" si="7"/>
        <v>55.77021977671887</v>
      </c>
    </row>
    <row r="127" spans="1:8" s="23" customFormat="1" ht="18" customHeight="1">
      <c r="A127" s="21"/>
      <c r="B127" s="13" t="s">
        <v>53</v>
      </c>
      <c r="C127" s="14">
        <f aca="true" t="shared" si="10" ref="C127:C140">E127</f>
        <v>19000000</v>
      </c>
      <c r="D127" s="17"/>
      <c r="E127" s="14">
        <f aca="true" t="shared" si="11" ref="E127:E140">F127</f>
        <v>19000000</v>
      </c>
      <c r="F127" s="14">
        <f>20000000-1000000</f>
        <v>19000000</v>
      </c>
      <c r="G127" s="14">
        <f>1654590+1400118+1512394.6+1210103.19</f>
        <v>5777205.789999999</v>
      </c>
      <c r="H127" s="14">
        <f t="shared" si="7"/>
        <v>30.40634626315789</v>
      </c>
    </row>
    <row r="128" spans="1:8" s="23" customFormat="1" ht="18" customHeight="1">
      <c r="A128" s="21"/>
      <c r="B128" s="13" t="s">
        <v>191</v>
      </c>
      <c r="C128" s="14">
        <f t="shared" si="10"/>
        <v>1202852</v>
      </c>
      <c r="D128" s="17"/>
      <c r="E128" s="14">
        <f t="shared" si="11"/>
        <v>1202852</v>
      </c>
      <c r="F128" s="14">
        <v>1202852</v>
      </c>
      <c r="G128" s="14">
        <f>410945</f>
        <v>410945</v>
      </c>
      <c r="H128" s="14">
        <f t="shared" si="7"/>
        <v>34.1642197045023</v>
      </c>
    </row>
    <row r="129" spans="1:8" s="23" customFormat="1" ht="18" customHeight="1">
      <c r="A129" s="21"/>
      <c r="B129" s="13" t="s">
        <v>133</v>
      </c>
      <c r="C129" s="14">
        <f t="shared" si="10"/>
        <v>188517.54</v>
      </c>
      <c r="D129" s="17"/>
      <c r="E129" s="14">
        <f t="shared" si="11"/>
        <v>188517.54</v>
      </c>
      <c r="F129" s="14">
        <v>188517.54</v>
      </c>
      <c r="G129" s="14">
        <f>188517.54-38515</f>
        <v>150002.54</v>
      </c>
      <c r="H129" s="14">
        <f t="shared" si="7"/>
        <v>79.56954031969651</v>
      </c>
    </row>
    <row r="130" spans="1:8" s="23" customFormat="1" ht="18" customHeight="1">
      <c r="A130" s="21"/>
      <c r="B130" s="13" t="s">
        <v>134</v>
      </c>
      <c r="C130" s="14">
        <f t="shared" si="10"/>
        <v>1334316.4</v>
      </c>
      <c r="D130" s="17"/>
      <c r="E130" s="14">
        <f t="shared" si="11"/>
        <v>1334316.4</v>
      </c>
      <c r="F130" s="14">
        <v>1334316.4</v>
      </c>
      <c r="G130" s="14">
        <v>1334316.4</v>
      </c>
      <c r="H130" s="14">
        <f t="shared" si="7"/>
        <v>100</v>
      </c>
    </row>
    <row r="131" spans="1:8" s="23" customFormat="1" ht="18" customHeight="1">
      <c r="A131" s="21"/>
      <c r="B131" s="13" t="s">
        <v>135</v>
      </c>
      <c r="C131" s="14">
        <f t="shared" si="10"/>
        <v>119695.6</v>
      </c>
      <c r="D131" s="17"/>
      <c r="E131" s="14">
        <f t="shared" si="11"/>
        <v>119695.6</v>
      </c>
      <c r="F131" s="14">
        <v>119695.6</v>
      </c>
      <c r="G131" s="14"/>
      <c r="H131" s="66">
        <f t="shared" si="7"/>
        <v>0</v>
      </c>
    </row>
    <row r="132" spans="1:8" s="23" customFormat="1" ht="18" customHeight="1">
      <c r="A132" s="21"/>
      <c r="B132" s="13" t="s">
        <v>55</v>
      </c>
      <c r="C132" s="14">
        <f t="shared" si="10"/>
        <v>4018084.68</v>
      </c>
      <c r="D132" s="17"/>
      <c r="E132" s="14">
        <f t="shared" si="11"/>
        <v>4018084.68</v>
      </c>
      <c r="F132" s="14">
        <v>4018084.68</v>
      </c>
      <c r="G132" s="14">
        <f>23838.87</f>
        <v>23838.87</v>
      </c>
      <c r="H132" s="14">
        <f t="shared" si="7"/>
        <v>0.5932893878184767</v>
      </c>
    </row>
    <row r="133" spans="1:8" s="23" customFormat="1" ht="18" customHeight="1">
      <c r="A133" s="21"/>
      <c r="B133" s="13" t="s">
        <v>54</v>
      </c>
      <c r="C133" s="14">
        <f t="shared" si="10"/>
        <v>6572376.13</v>
      </c>
      <c r="D133" s="17"/>
      <c r="E133" s="14">
        <f t="shared" si="11"/>
        <v>6572376.13</v>
      </c>
      <c r="F133" s="14">
        <v>6572376.13</v>
      </c>
      <c r="G133" s="14"/>
      <c r="H133" s="66">
        <f t="shared" si="7"/>
        <v>0</v>
      </c>
    </row>
    <row r="134" spans="1:8" s="23" customFormat="1" ht="18" customHeight="1">
      <c r="A134" s="21"/>
      <c r="B134" s="13" t="s">
        <v>56</v>
      </c>
      <c r="C134" s="14">
        <f t="shared" si="10"/>
        <v>6777200</v>
      </c>
      <c r="D134" s="17"/>
      <c r="E134" s="14">
        <f t="shared" si="11"/>
        <v>6777200</v>
      </c>
      <c r="F134" s="14">
        <v>6777200</v>
      </c>
      <c r="G134" s="14"/>
      <c r="H134" s="66">
        <f t="shared" si="7"/>
        <v>0</v>
      </c>
    </row>
    <row r="135" spans="1:8" s="23" customFormat="1" ht="18" customHeight="1">
      <c r="A135" s="21"/>
      <c r="B135" s="13" t="s">
        <v>57</v>
      </c>
      <c r="C135" s="14">
        <f t="shared" si="10"/>
        <v>2000000</v>
      </c>
      <c r="D135" s="17"/>
      <c r="E135" s="14">
        <f t="shared" si="11"/>
        <v>2000000</v>
      </c>
      <c r="F135" s="14">
        <f>3000000-1000000</f>
        <v>2000000</v>
      </c>
      <c r="G135" s="14"/>
      <c r="H135" s="66">
        <f t="shared" si="7"/>
        <v>0</v>
      </c>
    </row>
    <row r="136" spans="1:8" s="23" customFormat="1" ht="18" customHeight="1">
      <c r="A136" s="21"/>
      <c r="B136" s="13" t="s">
        <v>58</v>
      </c>
      <c r="C136" s="14">
        <f t="shared" si="10"/>
        <v>453107</v>
      </c>
      <c r="D136" s="17"/>
      <c r="E136" s="14">
        <f t="shared" si="11"/>
        <v>453107</v>
      </c>
      <c r="F136" s="14">
        <v>453107</v>
      </c>
      <c r="G136" s="14">
        <f>163584</f>
        <v>163584</v>
      </c>
      <c r="H136" s="14">
        <f t="shared" si="7"/>
        <v>36.10273070157821</v>
      </c>
    </row>
    <row r="137" spans="1:8" s="23" customFormat="1" ht="18" customHeight="1" hidden="1">
      <c r="A137" s="21"/>
      <c r="B137" s="13"/>
      <c r="C137" s="14">
        <f t="shared" si="10"/>
        <v>0</v>
      </c>
      <c r="D137" s="17"/>
      <c r="E137" s="14">
        <f t="shared" si="11"/>
        <v>0</v>
      </c>
      <c r="F137" s="14"/>
      <c r="G137" s="29"/>
      <c r="H137" s="54"/>
    </row>
    <row r="138" spans="1:8" s="23" customFormat="1" ht="18" customHeight="1" hidden="1">
      <c r="A138" s="21"/>
      <c r="B138" s="13"/>
      <c r="C138" s="14">
        <f t="shared" si="10"/>
        <v>0</v>
      </c>
      <c r="D138" s="17"/>
      <c r="E138" s="14">
        <f t="shared" si="11"/>
        <v>0</v>
      </c>
      <c r="F138" s="51"/>
      <c r="G138" s="29"/>
      <c r="H138" s="54"/>
    </row>
    <row r="139" spans="1:8" s="23" customFormat="1" ht="18" customHeight="1" hidden="1">
      <c r="A139" s="21"/>
      <c r="B139" s="13"/>
      <c r="C139" s="14">
        <f t="shared" si="10"/>
        <v>0</v>
      </c>
      <c r="D139" s="17"/>
      <c r="E139" s="14">
        <f t="shared" si="11"/>
        <v>0</v>
      </c>
      <c r="F139" s="51"/>
      <c r="G139" s="29"/>
      <c r="H139" s="54"/>
    </row>
    <row r="140" spans="1:8" s="23" customFormat="1" ht="18" customHeight="1" hidden="1">
      <c r="A140" s="21"/>
      <c r="B140" s="13"/>
      <c r="C140" s="14">
        <f t="shared" si="10"/>
        <v>0</v>
      </c>
      <c r="D140" s="17"/>
      <c r="E140" s="14">
        <f t="shared" si="11"/>
        <v>0</v>
      </c>
      <c r="F140" s="51"/>
      <c r="G140" s="29"/>
      <c r="H140" s="54"/>
    </row>
    <row r="141" spans="1:8" ht="17.25">
      <c r="A141" s="18"/>
      <c r="B141" s="19" t="s">
        <v>10</v>
      </c>
      <c r="C141" s="6">
        <f>C10+C88</f>
        <v>320508570.69</v>
      </c>
      <c r="D141" s="6">
        <f>D10+D88</f>
        <v>125625253.78999999</v>
      </c>
      <c r="E141" s="6">
        <f>E10+E88</f>
        <v>194883316.9</v>
      </c>
      <c r="F141" s="6">
        <f>F10+F88</f>
        <v>194883068.58</v>
      </c>
      <c r="G141" s="6">
        <f>G10+G88</f>
        <v>78410009.78999999</v>
      </c>
      <c r="H141" s="6">
        <f>(G141/(D141))*100</f>
        <v>62.41580209746138</v>
      </c>
    </row>
    <row r="142" spans="1:4" ht="17.25">
      <c r="A142" s="36"/>
      <c r="B142" s="37"/>
      <c r="C142" s="38"/>
      <c r="D142" s="38"/>
    </row>
    <row r="143" spans="1:8" ht="18">
      <c r="A143" s="39"/>
      <c r="B143" s="41"/>
      <c r="C143" s="42"/>
      <c r="D143" s="40"/>
      <c r="G143" s="68"/>
      <c r="H143" s="63"/>
    </row>
    <row r="144" spans="6:8" ht="12.75">
      <c r="F144" s="1" t="s">
        <v>195</v>
      </c>
      <c r="G144" s="1" t="s">
        <v>196</v>
      </c>
      <c r="H144" s="1" t="s">
        <v>197</v>
      </c>
    </row>
    <row r="145" spans="5:8" ht="12.75">
      <c r="E145" s="134">
        <v>3132</v>
      </c>
      <c r="F145" s="55">
        <f>SUM(F28:F78)</f>
        <v>41494407.57999999</v>
      </c>
      <c r="G145" s="55">
        <f>SUM(G28:G78)</f>
        <v>3194115.5700000003</v>
      </c>
      <c r="H145" s="55" t="e">
        <f>SUM(#REF!)</f>
        <v>#REF!</v>
      </c>
    </row>
    <row r="146" spans="5:8" ht="12.75">
      <c r="E146" s="134"/>
      <c r="F146" s="55">
        <f>SUM(F92:F108)</f>
        <v>62802143.81</v>
      </c>
      <c r="G146" s="55">
        <f>SUM(G92:G108)</f>
        <v>27684252.020000003</v>
      </c>
      <c r="H146" s="55" t="e">
        <f>SUM(#REF!)</f>
        <v>#REF!</v>
      </c>
    </row>
    <row r="147" spans="5:8" ht="12.75">
      <c r="E147" s="1" t="s">
        <v>177</v>
      </c>
      <c r="F147" s="124">
        <f>F145+F146</f>
        <v>104296551.38999999</v>
      </c>
      <c r="G147" s="124">
        <f>G145+G146</f>
        <v>30878367.590000004</v>
      </c>
      <c r="H147" s="124" t="e">
        <f>H145+H146</f>
        <v>#REF!</v>
      </c>
    </row>
    <row r="149" ht="12.75">
      <c r="E149" s="134">
        <v>3142</v>
      </c>
    </row>
    <row r="150" spans="5:8" ht="12.75">
      <c r="E150" s="134"/>
      <c r="F150" s="55">
        <f>SUM(F79:F84)</f>
        <v>6836928.99</v>
      </c>
      <c r="G150" s="55">
        <f>SUM(G79:G84)</f>
        <v>647737.15</v>
      </c>
      <c r="H150" s="55" t="e">
        <f>SUM(#REF!)</f>
        <v>#REF!</v>
      </c>
    </row>
    <row r="151" spans="6:8" ht="12.75">
      <c r="F151" s="55">
        <f>SUM(F109:F134)</f>
        <v>81296481.2</v>
      </c>
      <c r="G151" s="55">
        <f>SUM(G109:G134)</f>
        <v>17759994.79</v>
      </c>
      <c r="H151" s="55" t="e">
        <f>SUM(#REF!)</f>
        <v>#REF!</v>
      </c>
    </row>
    <row r="152" spans="5:8" ht="12.75">
      <c r="E152" s="1" t="s">
        <v>177</v>
      </c>
      <c r="F152" s="124">
        <f>F150+F151</f>
        <v>88133410.19</v>
      </c>
      <c r="G152" s="124">
        <f>G150+G151</f>
        <v>18407731.939999998</v>
      </c>
      <c r="H152" s="124" t="e">
        <f>H150+H151</f>
        <v>#REF!</v>
      </c>
    </row>
    <row r="154" spans="5:8" ht="12.75">
      <c r="E154" s="8">
        <v>3122</v>
      </c>
      <c r="F154" s="55">
        <f>F135+F136</f>
        <v>2453107</v>
      </c>
      <c r="G154" s="55">
        <f>G135+G136</f>
        <v>163584</v>
      </c>
      <c r="H154" s="55" t="e">
        <f>SUM(#REF!)</f>
        <v>#REF!</v>
      </c>
    </row>
    <row r="155" ht="12.75">
      <c r="E155" s="125"/>
    </row>
  </sheetData>
  <sheetProtection/>
  <mergeCells count="12">
    <mergeCell ref="A6:A7"/>
    <mergeCell ref="B6:B7"/>
    <mergeCell ref="C6:C7"/>
    <mergeCell ref="D6:D7"/>
    <mergeCell ref="E6:E7"/>
    <mergeCell ref="H6:H7"/>
    <mergeCell ref="E145:E146"/>
    <mergeCell ref="E149:E150"/>
    <mergeCell ref="B2:H2"/>
    <mergeCell ref="B3:H3"/>
    <mergeCell ref="G6:G7"/>
    <mergeCell ref="C1:D1"/>
  </mergeCells>
  <printOptions/>
  <pageMargins left="0.5118110236220472" right="0.3937007874015748" top="0.4330708661417323" bottom="0.5511811023622047" header="0.31496062992125984" footer="0.31496062992125984"/>
  <pageSetup fitToHeight="3" fitToWidth="1" horizontalDpi="600" verticalDpi="600" orientation="landscape" paperSize="9" scale="49" r:id="rId1"/>
  <colBreaks count="1" manualBreakCount="1">
    <brk id="1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4">
      <selection activeCell="H6" sqref="H6"/>
    </sheetView>
  </sheetViews>
  <sheetFormatPr defaultColWidth="9.33203125" defaultRowHeight="12.75"/>
  <cols>
    <col min="1" max="1" width="49.83203125" style="0" customWidth="1"/>
    <col min="2" max="2" width="15" style="0" customWidth="1"/>
    <col min="3" max="3" width="12.83203125" style="0" customWidth="1"/>
    <col min="4" max="4" width="13.5" style="0" customWidth="1"/>
    <col min="5" max="5" width="13.33203125" style="0" customWidth="1"/>
    <col min="6" max="6" width="15.16015625" style="0" customWidth="1"/>
    <col min="7" max="7" width="13.66015625" style="0" customWidth="1"/>
    <col min="8" max="8" width="16.33203125" style="0" customWidth="1"/>
    <col min="9" max="9" width="13.33203125" style="0" customWidth="1"/>
    <col min="10" max="11" width="13.5" style="0" customWidth="1"/>
    <col min="12" max="13" width="15.5" style="0" customWidth="1"/>
  </cols>
  <sheetData>
    <row r="2" spans="1:11" ht="16.5" customHeight="1">
      <c r="A2" s="143" t="s">
        <v>157</v>
      </c>
      <c r="B2" s="143"/>
      <c r="C2" s="143"/>
      <c r="D2" s="143"/>
      <c r="E2" s="143"/>
      <c r="F2" s="143"/>
      <c r="G2" s="143"/>
      <c r="H2" s="143"/>
      <c r="I2" s="69"/>
      <c r="J2" s="69"/>
      <c r="K2" s="69"/>
    </row>
    <row r="3" spans="8:11" ht="12.75">
      <c r="H3" s="70" t="s">
        <v>16</v>
      </c>
      <c r="J3" s="69">
        <f>E7-K7</f>
        <v>8883193.52</v>
      </c>
      <c r="K3" s="69">
        <f>F7-L7</f>
        <v>14372142.07</v>
      </c>
    </row>
    <row r="4" spans="1:13" ht="18.75" customHeight="1">
      <c r="A4" s="144" t="s">
        <v>136</v>
      </c>
      <c r="B4" s="145" t="s">
        <v>158</v>
      </c>
      <c r="C4" s="147" t="s">
        <v>137</v>
      </c>
      <c r="D4" s="148"/>
      <c r="E4" s="148"/>
      <c r="F4" s="148"/>
      <c r="G4" s="149"/>
      <c r="H4" s="145" t="s">
        <v>201</v>
      </c>
      <c r="I4" s="141" t="s">
        <v>138</v>
      </c>
      <c r="J4" s="141"/>
      <c r="K4" s="141"/>
      <c r="L4" s="141"/>
      <c r="M4" s="141"/>
    </row>
    <row r="5" spans="1:13" ht="69">
      <c r="A5" s="144"/>
      <c r="B5" s="146"/>
      <c r="C5" s="71" t="s">
        <v>139</v>
      </c>
      <c r="D5" s="71" t="s">
        <v>140</v>
      </c>
      <c r="E5" s="71" t="s">
        <v>141</v>
      </c>
      <c r="F5" s="71" t="s">
        <v>142</v>
      </c>
      <c r="G5" s="71" t="s">
        <v>143</v>
      </c>
      <c r="H5" s="146"/>
      <c r="I5" s="72" t="s">
        <v>139</v>
      </c>
      <c r="J5" s="72" t="s">
        <v>140</v>
      </c>
      <c r="K5" s="72" t="s">
        <v>144</v>
      </c>
      <c r="L5" s="72" t="s">
        <v>142</v>
      </c>
      <c r="M5" s="71" t="s">
        <v>143</v>
      </c>
    </row>
    <row r="6" spans="1:13" ht="33" customHeight="1">
      <c r="A6" s="73" t="s">
        <v>146</v>
      </c>
      <c r="B6" s="74">
        <f>B7+B8+B9+B10+B11+B12+B13</f>
        <v>80931500</v>
      </c>
      <c r="C6" s="74">
        <f aca="true" t="shared" si="0" ref="C6:M6">C7+C8+C9+C10+C11+C12+C13</f>
        <v>32581041.560000002</v>
      </c>
      <c r="D6" s="74">
        <f t="shared" si="0"/>
        <v>7167829.14</v>
      </c>
      <c r="E6" s="74">
        <f t="shared" si="0"/>
        <v>17314507.8</v>
      </c>
      <c r="F6" s="74">
        <f t="shared" si="0"/>
        <v>23778121.5</v>
      </c>
      <c r="G6" s="74">
        <f t="shared" si="0"/>
        <v>90000</v>
      </c>
      <c r="H6" s="74">
        <f>H7+H8+H9+H10+H11+H12+H13</f>
        <v>13385138.299999999</v>
      </c>
      <c r="I6" s="74">
        <f>I7+I8+I9+I10+I11+I12+I13</f>
        <v>7975621.02</v>
      </c>
      <c r="J6" s="74">
        <f t="shared" si="0"/>
        <v>1597299.75</v>
      </c>
      <c r="K6" s="74">
        <f t="shared" si="0"/>
        <v>3386857.37</v>
      </c>
      <c r="L6" s="74">
        <f t="shared" si="0"/>
        <v>410643.36</v>
      </c>
      <c r="M6" s="74">
        <f t="shared" si="0"/>
        <v>14716.8</v>
      </c>
    </row>
    <row r="7" spans="1:13" ht="13.5">
      <c r="A7" s="75" t="s">
        <v>147</v>
      </c>
      <c r="B7" s="76">
        <f>C7+D7+E7+F7</f>
        <v>54660771</v>
      </c>
      <c r="C7" s="77">
        <v>24783752.36</v>
      </c>
      <c r="D7" s="77">
        <v>5452425.53</v>
      </c>
      <c r="E7" s="78">
        <v>9861110.65</v>
      </c>
      <c r="F7" s="78">
        <v>14563482.46</v>
      </c>
      <c r="G7" s="78"/>
      <c r="H7" s="74">
        <f aca="true" t="shared" si="1" ref="H7:H12">I7+J7+K7+L7</f>
        <v>6215178.3999999985</v>
      </c>
      <c r="I7" s="131">
        <f>528118.54+14035.75+640822.75+514950.17+93848.63+450964.44+608528.04+13118.46+86079.8+277611.03+955698.59</f>
        <v>4183776.1999999993</v>
      </c>
      <c r="J7" s="131">
        <f>92334.8+3087.87+131125.61+113289.04+17272.25+116276.19+119876.17+2886.06+17016.14+61074.43+187906.12</f>
        <v>862144.68</v>
      </c>
      <c r="K7" s="132">
        <f>121351+14988.8+8252.02+240160+42435.11+51070+499660.2</f>
        <v>977917.1299999999</v>
      </c>
      <c r="L7" s="79">
        <f>28558+69255.18+32940+60587.21</f>
        <v>191340.38999999998</v>
      </c>
      <c r="M7" s="79"/>
    </row>
    <row r="8" spans="1:13" ht="13.5">
      <c r="A8" s="75" t="s">
        <v>148</v>
      </c>
      <c r="B8" s="76">
        <f aca="true" t="shared" si="2" ref="B8:B15">C8+D8+E8+F8</f>
        <v>3800014</v>
      </c>
      <c r="C8" s="77">
        <v>442626.39</v>
      </c>
      <c r="D8" s="77">
        <v>97377.81</v>
      </c>
      <c r="E8" s="77">
        <v>1260009.8</v>
      </c>
      <c r="F8" s="77">
        <v>2000000</v>
      </c>
      <c r="G8" s="77"/>
      <c r="H8" s="74">
        <f t="shared" si="1"/>
        <v>511730.56</v>
      </c>
      <c r="I8" s="132">
        <f>87439.8</f>
        <v>87439.8</v>
      </c>
      <c r="J8" s="132">
        <f>19236.76</f>
        <v>19236.76</v>
      </c>
      <c r="K8" s="132">
        <f>405054</f>
        <v>405054</v>
      </c>
      <c r="L8" s="132"/>
      <c r="M8" s="132"/>
    </row>
    <row r="9" spans="1:13" ht="18" customHeight="1">
      <c r="A9" s="80" t="s">
        <v>149</v>
      </c>
      <c r="B9" s="76">
        <f t="shared" si="2"/>
        <v>2700000</v>
      </c>
      <c r="C9" s="77">
        <v>663934.43</v>
      </c>
      <c r="D9" s="77">
        <v>146065.57</v>
      </c>
      <c r="E9" s="77">
        <v>1890000</v>
      </c>
      <c r="F9" s="77"/>
      <c r="G9" s="77"/>
      <c r="H9" s="74">
        <f t="shared" si="1"/>
        <v>224136.4</v>
      </c>
      <c r="I9" s="132"/>
      <c r="J9" s="132"/>
      <c r="K9" s="132">
        <f>224136.4</f>
        <v>224136.4</v>
      </c>
      <c r="L9" s="132"/>
      <c r="M9" s="132"/>
    </row>
    <row r="10" spans="1:13" ht="27.75" customHeight="1">
      <c r="A10" s="80" t="s">
        <v>150</v>
      </c>
      <c r="B10" s="76">
        <f t="shared" si="2"/>
        <v>1862874</v>
      </c>
      <c r="C10" s="77">
        <v>1292479.6</v>
      </c>
      <c r="D10" s="77">
        <v>284345.51</v>
      </c>
      <c r="E10" s="77">
        <v>286048.89</v>
      </c>
      <c r="F10" s="77"/>
      <c r="G10" s="77"/>
      <c r="H10" s="74">
        <f t="shared" si="1"/>
        <v>556167.1399999999</v>
      </c>
      <c r="I10" s="131">
        <f>30744.19+44692.45+44595.8+9019.5+46512.8+35428.81+84364.73+52758.86</f>
        <v>348117.13999999996</v>
      </c>
      <c r="J10" s="131">
        <f>6763.72+9832.34+9811.08+1393.51+10232.82+7794.34+18560.24+11606.95</f>
        <v>75995</v>
      </c>
      <c r="K10" s="131">
        <f>88165+43890</f>
        <v>132055</v>
      </c>
      <c r="L10" s="131"/>
      <c r="M10" s="131"/>
    </row>
    <row r="11" spans="1:13" ht="17.25" customHeight="1">
      <c r="A11" s="80" t="s">
        <v>151</v>
      </c>
      <c r="B11" s="76">
        <f t="shared" si="2"/>
        <v>5800000</v>
      </c>
      <c r="C11" s="77"/>
      <c r="D11" s="77"/>
      <c r="E11" s="77"/>
      <c r="F11" s="77">
        <v>5800000</v>
      </c>
      <c r="G11" s="77"/>
      <c r="H11" s="74">
        <f t="shared" si="1"/>
        <v>0</v>
      </c>
      <c r="I11" s="132"/>
      <c r="J11" s="132"/>
      <c r="K11" s="132"/>
      <c r="L11" s="132"/>
      <c r="M11" s="132"/>
    </row>
    <row r="12" spans="1:13" ht="30.75" customHeight="1">
      <c r="A12" s="80" t="s">
        <v>152</v>
      </c>
      <c r="B12" s="76">
        <f>C12+D12+E12+F12</f>
        <v>2249988</v>
      </c>
      <c r="C12" s="77">
        <v>204908.2</v>
      </c>
      <c r="D12" s="77">
        <v>45079.8</v>
      </c>
      <c r="E12" s="77">
        <v>872558.5</v>
      </c>
      <c r="F12" s="77">
        <v>1127441.5</v>
      </c>
      <c r="G12" s="77"/>
      <c r="H12" s="74">
        <f t="shared" si="1"/>
        <v>502906.23</v>
      </c>
      <c r="I12" s="79">
        <f>7520.28+10450.24</f>
        <v>17970.52</v>
      </c>
      <c r="J12" s="79">
        <f>1654.46+2299.05</f>
        <v>3953.51</v>
      </c>
      <c r="K12" s="79">
        <f>142644.68+150000+56319.65+6375.6</f>
        <v>355339.93</v>
      </c>
      <c r="L12" s="132">
        <f>125642.27</f>
        <v>125642.27</v>
      </c>
      <c r="M12" s="132"/>
    </row>
    <row r="13" spans="1:13" ht="105" customHeight="1">
      <c r="A13" s="82" t="s">
        <v>153</v>
      </c>
      <c r="B13" s="76">
        <f>C13+D13+E13+F13+G13</f>
        <v>9857853</v>
      </c>
      <c r="C13" s="83">
        <f>SUM(C14:C16)</f>
        <v>5193340.58</v>
      </c>
      <c r="D13" s="83">
        <f>SUM(D14:D16)</f>
        <v>1142534.92</v>
      </c>
      <c r="E13" s="83">
        <f>SUM(E14:E16)</f>
        <v>3144779.96</v>
      </c>
      <c r="F13" s="83">
        <f>SUM(F14:F16)</f>
        <v>287197.54000000004</v>
      </c>
      <c r="G13" s="83">
        <f>SUM(G14:G16)</f>
        <v>90000</v>
      </c>
      <c r="H13" s="74">
        <f>I13+J13+K13+L13+M13</f>
        <v>5375019.57</v>
      </c>
      <c r="I13" s="84">
        <f>I14+I15+I16</f>
        <v>3338317.360000001</v>
      </c>
      <c r="J13" s="84">
        <f>J14+J15+J16</f>
        <v>635969.7999999999</v>
      </c>
      <c r="K13" s="84">
        <f>K14+K15+K16</f>
        <v>1292354.9100000001</v>
      </c>
      <c r="L13" s="84">
        <f>L14+L15+L16</f>
        <v>93660.7</v>
      </c>
      <c r="M13" s="84">
        <f>M14+M15+M16</f>
        <v>14716.8</v>
      </c>
    </row>
    <row r="14" spans="1:13" ht="13.5">
      <c r="A14" s="75" t="s">
        <v>154</v>
      </c>
      <c r="B14" s="76">
        <f>C14+D14+E14+F14</f>
        <v>8640080.299999999</v>
      </c>
      <c r="C14" s="81">
        <v>4966067.88</v>
      </c>
      <c r="D14" s="81">
        <v>1092534.92</v>
      </c>
      <c r="E14" s="81">
        <v>2344279.96</v>
      </c>
      <c r="F14" s="81">
        <v>237197.54</v>
      </c>
      <c r="G14" s="81"/>
      <c r="H14" s="85">
        <f>I14+J14+K14+L14+M14</f>
        <v>4943980.220000002</v>
      </c>
      <c r="I14" s="132">
        <f>390121.86+59986.28+710741.08+465924.83+461017.3+4480.11+368356.77+672746.68+170337.01</f>
        <v>3303711.920000001</v>
      </c>
      <c r="J14" s="132">
        <f>85826.91+12950.78+146580.23+81314.65+66000+985.62+72563.57+133691.87+28442.97</f>
        <v>628356.6</v>
      </c>
      <c r="K14" s="79">
        <f>566990+42240+39059+26342+9197.4+234422.6</f>
        <v>918251</v>
      </c>
      <c r="L14" s="132">
        <f>11097+16657.5+7500+2992.8+31772+3641.4+20000</f>
        <v>93660.7</v>
      </c>
      <c r="M14" s="132"/>
    </row>
    <row r="15" spans="1:13" ht="30" customHeight="1">
      <c r="A15" s="80" t="s">
        <v>155</v>
      </c>
      <c r="B15" s="76">
        <f t="shared" si="2"/>
        <v>50000</v>
      </c>
      <c r="C15" s="81"/>
      <c r="D15" s="81"/>
      <c r="E15" s="81"/>
      <c r="F15" s="81">
        <v>50000</v>
      </c>
      <c r="G15" s="81"/>
      <c r="H15" s="85">
        <f>I15+J15+K15+L15+M15</f>
        <v>0</v>
      </c>
      <c r="I15" s="132"/>
      <c r="J15" s="132"/>
      <c r="K15" s="132"/>
      <c r="L15" s="132"/>
      <c r="M15" s="132"/>
    </row>
    <row r="16" spans="1:13" ht="43.5" customHeight="1">
      <c r="A16" s="86" t="s">
        <v>156</v>
      </c>
      <c r="B16" s="76">
        <f>C16+D16+E16+F16+G16</f>
        <v>1167772.7</v>
      </c>
      <c r="C16" s="81">
        <v>227272.7</v>
      </c>
      <c r="D16" s="81">
        <v>50000</v>
      </c>
      <c r="E16" s="81">
        <v>800500</v>
      </c>
      <c r="F16" s="81"/>
      <c r="G16" s="81">
        <v>90000</v>
      </c>
      <c r="H16" s="85">
        <f>I16+J16+K16+L16+M16</f>
        <v>431039.35000000003</v>
      </c>
      <c r="I16" s="133">
        <f>34605.44</f>
        <v>34605.44</v>
      </c>
      <c r="J16" s="133">
        <f>7613.2</f>
        <v>7613.2</v>
      </c>
      <c r="K16" s="131">
        <f>130203.91+36850+59000+118000+30050</f>
        <v>374103.91000000003</v>
      </c>
      <c r="L16" s="131"/>
      <c r="M16" s="131">
        <f>14716.8</f>
        <v>14716.8</v>
      </c>
    </row>
    <row r="17" spans="3:7" ht="12.75">
      <c r="C17" s="126"/>
      <c r="D17" s="87"/>
      <c r="E17" s="87"/>
      <c r="F17" s="87"/>
      <c r="G17" s="87"/>
    </row>
    <row r="18" spans="6:7" ht="12.75">
      <c r="F18" s="69"/>
      <c r="G18" s="69"/>
    </row>
    <row r="19" spans="1:7" ht="12.75">
      <c r="A19" s="142"/>
      <c r="B19" s="142"/>
      <c r="C19" s="142"/>
      <c r="D19" s="142"/>
      <c r="E19" s="142"/>
      <c r="F19" s="142"/>
      <c r="G19" s="88"/>
    </row>
  </sheetData>
  <sheetProtection/>
  <mergeCells count="7">
    <mergeCell ref="I4:M4"/>
    <mergeCell ref="A19:F19"/>
    <mergeCell ref="A2:H2"/>
    <mergeCell ref="A4:A5"/>
    <mergeCell ref="B4:B5"/>
    <mergeCell ref="C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8"/>
  <sheetViews>
    <sheetView zoomScalePageLayoutView="0" workbookViewId="0" topLeftCell="A1">
      <selection activeCell="B30" sqref="B30"/>
    </sheetView>
  </sheetViews>
  <sheetFormatPr defaultColWidth="9.33203125" defaultRowHeight="12.75"/>
  <cols>
    <col min="1" max="1" width="21.5" style="0" customWidth="1"/>
    <col min="2" max="2" width="12.5" style="0" customWidth="1"/>
    <col min="3" max="3" width="15.33203125" style="0" customWidth="1"/>
    <col min="4" max="4" width="14.83203125" style="0" customWidth="1"/>
    <col min="5" max="6" width="14.66015625" style="0" customWidth="1"/>
    <col min="7" max="7" width="13.16015625" style="0" customWidth="1"/>
    <col min="8" max="8" width="13.5" style="0" customWidth="1"/>
    <col min="9" max="9" width="13" style="0" customWidth="1"/>
    <col min="10" max="10" width="13.33203125" style="0" customWidth="1"/>
    <col min="11" max="11" width="13" style="0" customWidth="1"/>
    <col min="12" max="12" width="13.66015625" style="0" customWidth="1"/>
    <col min="13" max="13" width="14.66015625" style="0" customWidth="1"/>
    <col min="14" max="14" width="14.83203125" style="0" customWidth="1"/>
    <col min="15" max="15" width="11.66015625" style="0" bestFit="1" customWidth="1"/>
    <col min="16" max="16" width="12.66015625" style="0" bestFit="1" customWidth="1"/>
  </cols>
  <sheetData>
    <row r="2" spans="6:8" ht="12.75">
      <c r="F2" s="150" t="s">
        <v>159</v>
      </c>
      <c r="G2" s="150"/>
      <c r="H2" s="150"/>
    </row>
    <row r="4" spans="1:16" ht="12.75">
      <c r="A4" s="89"/>
      <c r="B4" s="89" t="s">
        <v>61</v>
      </c>
      <c r="C4" s="89" t="s">
        <v>62</v>
      </c>
      <c r="D4" s="89" t="s">
        <v>63</v>
      </c>
      <c r="E4" s="89" t="s">
        <v>64</v>
      </c>
      <c r="F4" s="89" t="s">
        <v>65</v>
      </c>
      <c r="G4" s="89" t="s">
        <v>66</v>
      </c>
      <c r="H4" s="89" t="s">
        <v>160</v>
      </c>
      <c r="I4" s="89" t="s">
        <v>68</v>
      </c>
      <c r="J4" s="89" t="s">
        <v>69</v>
      </c>
      <c r="K4" s="89" t="s">
        <v>70</v>
      </c>
      <c r="L4" s="89" t="s">
        <v>71</v>
      </c>
      <c r="M4" s="89" t="s">
        <v>72</v>
      </c>
      <c r="N4" s="89" t="s">
        <v>145</v>
      </c>
      <c r="P4" t="s">
        <v>161</v>
      </c>
    </row>
    <row r="5" spans="1:14" ht="12.75">
      <c r="A5" s="89"/>
      <c r="B5" s="151" t="s">
        <v>162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  <c r="N5" s="89"/>
    </row>
    <row r="6" spans="1:16" ht="12.75">
      <c r="A6" s="89" t="s">
        <v>163</v>
      </c>
      <c r="B6" s="90">
        <f>1495336.8+127169.55+827677.98</f>
        <v>2450184.33</v>
      </c>
      <c r="C6" s="90">
        <f>1709745.88+127169.55+22767.5+827677.98+45454.5</f>
        <v>2732815.41</v>
      </c>
      <c r="D6" s="90">
        <f>1628746.42+73770.49+126426.27+22767.5+827677.98+45454.55</f>
        <v>2724843.21</v>
      </c>
      <c r="E6" s="90">
        <f>629000.09+88525.27+73770.49+125842.27+22767.5+827677.98+45454.55</f>
        <v>1813038.1500000001</v>
      </c>
      <c r="F6" s="95">
        <f>2640139.47+88525.28+73770.49+125842.27+22767.5+827677.98+45454.55</f>
        <v>3824177.54</v>
      </c>
      <c r="G6" s="95">
        <f>1634569.78+88525.28+73770.49+105350.46+22767.5+827677.98+45454.55</f>
        <v>2798116.04</v>
      </c>
      <c r="H6" s="95">
        <f>1634569.78+88525.28+73770.49+112540.09+22767.5</f>
        <v>1932173.1400000001</v>
      </c>
      <c r="I6" s="95">
        <f>1634569.78+88525.28+73770.49+87949.93+22767.5</f>
        <v>1907582.98</v>
      </c>
      <c r="J6" s="95">
        <f>1634569.78+73770.49+87949.93+22767.5</f>
        <v>1819057.7</v>
      </c>
      <c r="K6" s="95">
        <f>1634569.78+73770.5+87949.93+22768.2</f>
        <v>1819058.41</v>
      </c>
      <c r="L6" s="95">
        <f>1634569.78+73770.5+92048.29</f>
        <v>1800388.57</v>
      </c>
      <c r="M6" s="95">
        <f>6873365.02+86241.06</f>
        <v>6959606.079999999</v>
      </c>
      <c r="N6" s="91">
        <f>SUM(B6:M6)</f>
        <v>32581041.56</v>
      </c>
      <c r="O6" s="69"/>
      <c r="P6" s="69">
        <f>B6+C6+D6+E6-B11-C11-D11-E11</f>
        <v>1745260.0800000005</v>
      </c>
    </row>
    <row r="7" spans="1:16" ht="12.75">
      <c r="A7" s="89" t="s">
        <v>164</v>
      </c>
      <c r="B7" s="90">
        <f>328974.09+27977.3+182089.15</f>
        <v>539040.54</v>
      </c>
      <c r="C7" s="90">
        <f>376144.09+27977.3+5008.85+182089.14+10000</f>
        <v>601219.38</v>
      </c>
      <c r="D7" s="90">
        <f>358324.17+16229.51+27813.82+5008.85+182089.15+10000</f>
        <v>599465.5</v>
      </c>
      <c r="E7" s="90">
        <f>138380.04+19475.56+16229.51+27685.29+5008.85+182089.16+10000</f>
        <v>398868.41000000003</v>
      </c>
      <c r="F7" s="95">
        <f>580830.7+19475.56+16229.51+27685.29+5008.85+182089.16+10000</f>
        <v>841319.0700000001</v>
      </c>
      <c r="G7" s="95">
        <f>359605.36+19475.56+16229.51+23177.1+5008.85+182089.16+10000</f>
        <v>615585.5399999999</v>
      </c>
      <c r="H7" s="95">
        <f>359605.35+19475.56+16229.51+24758.82+5008.85</f>
        <v>425078.08999999997</v>
      </c>
      <c r="I7" s="95">
        <f>359605.35+19475.57+16229.51+19348.98+5008.85</f>
        <v>419668.25999999995</v>
      </c>
      <c r="J7" s="95">
        <f>359605.35+16229.51+19348.98+5008.85</f>
        <v>400192.68999999994</v>
      </c>
      <c r="K7" s="95">
        <f>359605.37+16229.5+19348.98+5009</f>
        <v>400192.85</v>
      </c>
      <c r="L7" s="95">
        <f>359605.37+16229.5+20250.62</f>
        <v>396085.49</v>
      </c>
      <c r="M7" s="95">
        <f>1512140.29+18973.03</f>
        <v>1531113.32</v>
      </c>
      <c r="N7" s="91">
        <f>SUM(B7:M7)</f>
        <v>7167829.140000001</v>
      </c>
      <c r="O7" s="69"/>
      <c r="P7" s="69">
        <f>B7+C7+D7+E7-B12-C12-D12-E12</f>
        <v>541294.0800000002</v>
      </c>
    </row>
    <row r="8" spans="1:16" ht="12.75">
      <c r="A8" s="92" t="s">
        <v>145</v>
      </c>
      <c r="B8" s="93">
        <f>B6+B7</f>
        <v>2989224.87</v>
      </c>
      <c r="C8" s="93">
        <f aca="true" t="shared" si="0" ref="C8:M8">C6+C7</f>
        <v>3334034.79</v>
      </c>
      <c r="D8" s="93">
        <f t="shared" si="0"/>
        <v>3324308.71</v>
      </c>
      <c r="E8" s="93">
        <f t="shared" si="0"/>
        <v>2211906.56</v>
      </c>
      <c r="F8" s="96">
        <f t="shared" si="0"/>
        <v>4665496.61</v>
      </c>
      <c r="G8" s="96">
        <f t="shared" si="0"/>
        <v>3413701.58</v>
      </c>
      <c r="H8" s="96">
        <f t="shared" si="0"/>
        <v>2357251.23</v>
      </c>
      <c r="I8" s="96">
        <f t="shared" si="0"/>
        <v>2327251.2399999998</v>
      </c>
      <c r="J8" s="96">
        <f>J6+J7</f>
        <v>2219250.3899999997</v>
      </c>
      <c r="K8" s="96">
        <f t="shared" si="0"/>
        <v>2219251.26</v>
      </c>
      <c r="L8" s="96">
        <f t="shared" si="0"/>
        <v>2196474.06</v>
      </c>
      <c r="M8" s="96">
        <f t="shared" si="0"/>
        <v>8490719.399999999</v>
      </c>
      <c r="N8" s="94">
        <f>N6+N7</f>
        <v>39748870.7</v>
      </c>
      <c r="P8" s="69">
        <f>B8+C8+D8+E8</f>
        <v>11859474.930000002</v>
      </c>
    </row>
    <row r="10" spans="6:10" ht="12.75">
      <c r="F10" s="142" t="s">
        <v>165</v>
      </c>
      <c r="G10" s="142"/>
      <c r="H10" s="142"/>
      <c r="I10" s="142"/>
      <c r="J10" s="142"/>
    </row>
    <row r="11" spans="1:16" ht="12.75">
      <c r="A11" s="89" t="s">
        <v>163</v>
      </c>
      <c r="B11" s="91">
        <f>B14+B16</f>
        <v>948984.59</v>
      </c>
      <c r="C11" s="91">
        <f>C14+C16+C18</f>
        <v>2504768.61</v>
      </c>
      <c r="D11" s="91">
        <f>D14+D16+D18+D20</f>
        <v>2124381.08</v>
      </c>
      <c r="E11" s="91">
        <f>E14+E16+E18+E20</f>
        <v>2397486.7399999998</v>
      </c>
      <c r="F11" s="91">
        <f aca="true" t="shared" si="1" ref="F11:M11">F14+F16+F18+F20</f>
        <v>0</v>
      </c>
      <c r="G11" s="91">
        <f t="shared" si="1"/>
        <v>0</v>
      </c>
      <c r="H11" s="91">
        <f t="shared" si="1"/>
        <v>0</v>
      </c>
      <c r="I11" s="91">
        <f t="shared" si="1"/>
        <v>0</v>
      </c>
      <c r="J11" s="91">
        <f t="shared" si="1"/>
        <v>0</v>
      </c>
      <c r="K11" s="91">
        <f t="shared" si="1"/>
        <v>0</v>
      </c>
      <c r="L11" s="91">
        <f t="shared" si="1"/>
        <v>0</v>
      </c>
      <c r="M11" s="91">
        <f t="shared" si="1"/>
        <v>0</v>
      </c>
      <c r="N11" s="91">
        <f>SUM(B11:M11)</f>
        <v>7975621.02</v>
      </c>
      <c r="O11" s="69"/>
      <c r="P11" s="69">
        <f>B13+C13+D13+E13+F13+G13+H13+I13+J13+K13+L13+M13</f>
        <v>9572920.77</v>
      </c>
    </row>
    <row r="12" spans="1:15" ht="12.75">
      <c r="A12" s="89" t="s">
        <v>164</v>
      </c>
      <c r="B12" s="91">
        <f>B15+B17</f>
        <v>184925.43</v>
      </c>
      <c r="C12" s="91">
        <f>C15+C17+C19</f>
        <v>509385.1099999999</v>
      </c>
      <c r="D12" s="91">
        <f>D15+D17+D19</f>
        <v>423154.68000000005</v>
      </c>
      <c r="E12" s="91">
        <f aca="true" t="shared" si="2" ref="E12:M12">E15+E17+E19</f>
        <v>479834.53</v>
      </c>
      <c r="F12" s="95">
        <f t="shared" si="2"/>
        <v>0</v>
      </c>
      <c r="G12" s="95">
        <f t="shared" si="2"/>
        <v>0</v>
      </c>
      <c r="H12" s="95">
        <f t="shared" si="2"/>
        <v>0</v>
      </c>
      <c r="I12" s="95">
        <f t="shared" si="2"/>
        <v>0</v>
      </c>
      <c r="J12" s="95">
        <f t="shared" si="2"/>
        <v>0</v>
      </c>
      <c r="K12" s="95">
        <f t="shared" si="2"/>
        <v>0</v>
      </c>
      <c r="L12" s="95">
        <f t="shared" si="2"/>
        <v>0</v>
      </c>
      <c r="M12" s="95">
        <f t="shared" si="2"/>
        <v>0</v>
      </c>
      <c r="N12" s="95">
        <f>SUM(B12:M12)</f>
        <v>1597299.75</v>
      </c>
      <c r="O12" s="69"/>
    </row>
    <row r="13" spans="1:14" s="97" customFormat="1" ht="12.75">
      <c r="A13" s="92" t="s">
        <v>166</v>
      </c>
      <c r="B13" s="94">
        <f>B11+B12+B20</f>
        <v>1133910.02</v>
      </c>
      <c r="C13" s="94">
        <f aca="true" t="shared" si="3" ref="C13:M13">C11+C12</f>
        <v>3014153.7199999997</v>
      </c>
      <c r="D13" s="94">
        <f t="shared" si="3"/>
        <v>2547535.7600000002</v>
      </c>
      <c r="E13" s="94">
        <f>E11+E12</f>
        <v>2877321.2699999996</v>
      </c>
      <c r="F13" s="96">
        <f>F11+F12</f>
        <v>0</v>
      </c>
      <c r="G13" s="96">
        <f t="shared" si="3"/>
        <v>0</v>
      </c>
      <c r="H13" s="96">
        <f>H11+H12</f>
        <v>0</v>
      </c>
      <c r="I13" s="96">
        <f t="shared" si="3"/>
        <v>0</v>
      </c>
      <c r="J13" s="96">
        <f t="shared" si="3"/>
        <v>0</v>
      </c>
      <c r="K13" s="96">
        <f>K11+K12</f>
        <v>0</v>
      </c>
      <c r="L13" s="96">
        <f>L11+L12</f>
        <v>0</v>
      </c>
      <c r="M13" s="96">
        <f t="shared" si="3"/>
        <v>0</v>
      </c>
      <c r="N13" s="96">
        <f>SUM(B13:M13)</f>
        <v>9572920.77</v>
      </c>
    </row>
    <row r="14" spans="1:14" ht="12.75">
      <c r="A14" s="98" t="s">
        <v>167</v>
      </c>
      <c r="B14" s="99">
        <f>528118.54+30744.19+390121.86</f>
        <v>948984.59</v>
      </c>
      <c r="C14" s="99">
        <f>514950.17+44595.8+465924.83</f>
        <v>1025470.8</v>
      </c>
      <c r="D14" s="99">
        <f>608528.04+35428.81+368356.77</f>
        <v>1012313.6200000001</v>
      </c>
      <c r="E14" s="99">
        <f>955698.59+52758.86+170337.01</f>
        <v>1178794.46</v>
      </c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ht="12.75">
      <c r="A15" s="98" t="s">
        <v>164</v>
      </c>
      <c r="B15" s="99">
        <f>92334.8+6763.72+85826.91</f>
        <v>184925.43</v>
      </c>
      <c r="C15" s="99">
        <f>113289.04+9811.08+81314.65</f>
        <v>204414.77</v>
      </c>
      <c r="D15" s="99">
        <f>119876.17+7794.34+72563.57</f>
        <v>200234.08000000002</v>
      </c>
      <c r="E15" s="99">
        <f>187906.12+11606.95+28442.97</f>
        <v>227956.04</v>
      </c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6" ht="12.75">
      <c r="A16" s="98" t="s">
        <v>168</v>
      </c>
      <c r="B16" s="99"/>
      <c r="C16" s="99">
        <f>640822.75+44692.45+710741.08</f>
        <v>1396256.2799999998</v>
      </c>
      <c r="D16" s="99">
        <f>450964.44+46512.8+7520.28+461017.3+34605.44</f>
        <v>1000620.26</v>
      </c>
      <c r="E16" s="129">
        <f>277611.03+87439.8+84364.73+10450.24+672746.68</f>
        <v>1132612.48</v>
      </c>
      <c r="F16" s="100"/>
      <c r="G16" s="100"/>
      <c r="H16" s="100"/>
      <c r="I16" s="100"/>
      <c r="J16" s="100"/>
      <c r="K16" s="100"/>
      <c r="L16" s="100"/>
      <c r="M16" s="100"/>
      <c r="N16" s="100"/>
      <c r="P16" s="101">
        <f>P8-P11</f>
        <v>2286554.160000002</v>
      </c>
    </row>
    <row r="17" spans="1:14" ht="12.75">
      <c r="A17" s="98" t="s">
        <v>164</v>
      </c>
      <c r="B17" s="99"/>
      <c r="C17" s="99">
        <f>131125.61+9832.34+146580.23</f>
        <v>287538.18</v>
      </c>
      <c r="D17" s="99">
        <f>116276.19+10232.82+1654.46+66000+7613.2</f>
        <v>201776.67000000004</v>
      </c>
      <c r="E17" s="99">
        <f>61074.43+19236.76+18560.24+2299.05+133691.87</f>
        <v>234862.35</v>
      </c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ht="12.75">
      <c r="A18" s="98" t="s">
        <v>169</v>
      </c>
      <c r="B18" s="99"/>
      <c r="C18" s="99">
        <f>14035.75+59986.28+9019.5</f>
        <v>83041.53</v>
      </c>
      <c r="D18" s="129">
        <f>93848.63</f>
        <v>93848.63</v>
      </c>
      <c r="E18" s="99">
        <f>86079.8</f>
        <v>86079.8</v>
      </c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6" s="105" customFormat="1" ht="12.75">
      <c r="A19" s="98" t="s">
        <v>164</v>
      </c>
      <c r="B19" s="102"/>
      <c r="C19" s="99">
        <f>3087.87+12950.78+1393.51</f>
        <v>17432.16</v>
      </c>
      <c r="D19" s="103">
        <f>17272.25+985.62+2886.06</f>
        <v>21143.93</v>
      </c>
      <c r="E19" s="102">
        <f>17016.14</f>
        <v>17016.14</v>
      </c>
      <c r="F19" s="104"/>
      <c r="G19" s="104"/>
      <c r="H19" s="104"/>
      <c r="I19" s="104"/>
      <c r="J19" s="100"/>
      <c r="K19" s="104"/>
      <c r="L19" s="104"/>
      <c r="M19" s="104"/>
      <c r="N19" s="104"/>
      <c r="P19" s="106"/>
    </row>
    <row r="20" spans="1:14" s="105" customFormat="1" ht="12.75">
      <c r="A20" s="98" t="s">
        <v>170</v>
      </c>
      <c r="B20" s="102"/>
      <c r="C20" s="102"/>
      <c r="D20" s="130">
        <f>4480.11+13118.46</f>
        <v>17598.57</v>
      </c>
      <c r="E20" s="102"/>
      <c r="F20" s="104"/>
      <c r="G20" s="104"/>
      <c r="H20" s="104"/>
      <c r="I20" s="104"/>
      <c r="J20" s="107"/>
      <c r="K20" s="104"/>
      <c r="L20" s="104"/>
      <c r="M20" s="104"/>
      <c r="N20" s="104"/>
    </row>
    <row r="21" spans="1:14" ht="12.75">
      <c r="A21" s="108"/>
      <c r="F21" s="109"/>
      <c r="G21" s="109"/>
      <c r="H21" s="109"/>
      <c r="I21" s="109"/>
      <c r="J21" s="109"/>
      <c r="K21" s="109"/>
      <c r="L21" s="109"/>
      <c r="M21" s="109"/>
      <c r="N21" s="109"/>
    </row>
    <row r="22" spans="1:14" ht="12.75">
      <c r="A22" s="154" t="s">
        <v>171</v>
      </c>
      <c r="B22" s="154"/>
      <c r="C22" s="154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3" ht="13.5">
      <c r="A23" s="110" t="s">
        <v>172</v>
      </c>
      <c r="B23" s="89"/>
      <c r="C23" s="111">
        <f>C24+C25</f>
        <v>2817704.48</v>
      </c>
    </row>
    <row r="24" spans="1:14" ht="12.75">
      <c r="A24" s="112" t="s">
        <v>167</v>
      </c>
      <c r="B24" s="113">
        <v>43851</v>
      </c>
      <c r="C24" s="114">
        <f>1133910.02</f>
        <v>1133910.02</v>
      </c>
      <c r="N24" s="69"/>
    </row>
    <row r="25" spans="1:14" ht="12.75">
      <c r="A25" s="115" t="s">
        <v>168</v>
      </c>
      <c r="B25" s="113">
        <v>43868</v>
      </c>
      <c r="C25" s="114">
        <v>1683794.46</v>
      </c>
      <c r="N25" s="69"/>
    </row>
    <row r="26" spans="1:14" ht="12.75">
      <c r="A26" s="115" t="s">
        <v>178</v>
      </c>
      <c r="B26" s="113"/>
      <c r="C26" s="114"/>
      <c r="E26" s="69"/>
      <c r="N26" s="69"/>
    </row>
    <row r="27" spans="1:3" ht="13.5">
      <c r="A27" s="116" t="s">
        <v>174</v>
      </c>
      <c r="B27" s="112"/>
      <c r="C27" s="117">
        <f>C28+C29+C30</f>
        <v>2532756.19</v>
      </c>
    </row>
    <row r="28" spans="1:3" ht="12.75">
      <c r="A28" s="112" t="s">
        <v>167</v>
      </c>
      <c r="B28" s="113">
        <v>43881</v>
      </c>
      <c r="C28" s="114">
        <v>1229885.57</v>
      </c>
    </row>
    <row r="29" spans="1:3" ht="12.75">
      <c r="A29" s="115" t="s">
        <v>168</v>
      </c>
      <c r="B29" s="113">
        <v>43895</v>
      </c>
      <c r="C29" s="114">
        <f>1202396.93</f>
        <v>1202396.93</v>
      </c>
    </row>
    <row r="30" spans="1:7" ht="12.75">
      <c r="A30" s="115" t="s">
        <v>173</v>
      </c>
      <c r="B30" s="113" t="s">
        <v>198</v>
      </c>
      <c r="C30" s="114">
        <f>90060.68+10413.01</f>
        <v>100473.68999999999</v>
      </c>
      <c r="G30" s="69"/>
    </row>
    <row r="31" spans="1:4" ht="13.5">
      <c r="A31" s="116" t="s">
        <v>175</v>
      </c>
      <c r="B31" s="109"/>
      <c r="C31" s="117">
        <f>C32+C33+C34</f>
        <v>2712613.66</v>
      </c>
      <c r="D31" s="69"/>
    </row>
    <row r="32" spans="1:3" ht="12.75">
      <c r="A32" s="112" t="s">
        <v>167</v>
      </c>
      <c r="B32" s="113">
        <v>43908</v>
      </c>
      <c r="C32" s="114">
        <f>1212547.7</f>
        <v>1212547.7</v>
      </c>
    </row>
    <row r="33" spans="1:3" ht="12.75">
      <c r="A33" s="115" t="s">
        <v>168</v>
      </c>
      <c r="B33" s="113">
        <v>43927</v>
      </c>
      <c r="C33" s="114">
        <v>1367474.83</v>
      </c>
    </row>
    <row r="34" spans="1:3" ht="12.75">
      <c r="A34" s="115" t="s">
        <v>199</v>
      </c>
      <c r="B34" s="118" t="s">
        <v>200</v>
      </c>
      <c r="C34" s="114">
        <f>111120.88+5465.73+16004.52</f>
        <v>132591.13</v>
      </c>
    </row>
    <row r="35" spans="1:4" ht="13.5">
      <c r="A35" s="116" t="s">
        <v>176</v>
      </c>
      <c r="B35" s="112"/>
      <c r="C35" s="117">
        <f>C36+C37+C38+C39</f>
        <v>1509846.44</v>
      </c>
      <c r="D35" s="69"/>
    </row>
    <row r="36" spans="1:3" ht="12.75">
      <c r="A36" s="112" t="s">
        <v>167</v>
      </c>
      <c r="B36" s="113">
        <v>43937</v>
      </c>
      <c r="C36" s="114">
        <f>1406750.5</f>
        <v>1406750.5</v>
      </c>
    </row>
    <row r="37" spans="1:3" ht="12.75">
      <c r="A37" s="115" t="s">
        <v>168</v>
      </c>
      <c r="B37" s="113" t="s">
        <v>180</v>
      </c>
      <c r="C37" s="114"/>
    </row>
    <row r="38" spans="1:3" ht="12.75">
      <c r="A38" s="115" t="s">
        <v>169</v>
      </c>
      <c r="B38" s="113">
        <v>43927</v>
      </c>
      <c r="C38" s="114">
        <v>103095.94</v>
      </c>
    </row>
    <row r="39" spans="1:3" ht="12.75">
      <c r="A39" s="115" t="s">
        <v>170</v>
      </c>
      <c r="B39" s="113" t="s">
        <v>179</v>
      </c>
      <c r="C39" s="114"/>
    </row>
    <row r="40" spans="1:3" ht="13.5">
      <c r="A40" s="116" t="s">
        <v>65</v>
      </c>
      <c r="B40" s="112"/>
      <c r="C40" s="117">
        <f>C41+C42+C43</f>
        <v>0</v>
      </c>
    </row>
    <row r="41" spans="1:3" ht="12.75">
      <c r="A41" s="112" t="s">
        <v>167</v>
      </c>
      <c r="B41" s="118" t="s">
        <v>180</v>
      </c>
      <c r="C41" s="114"/>
    </row>
    <row r="42" spans="1:3" ht="12.75">
      <c r="A42" s="115" t="s">
        <v>168</v>
      </c>
      <c r="B42" s="118" t="s">
        <v>181</v>
      </c>
      <c r="C42" s="114"/>
    </row>
    <row r="43" spans="1:3" ht="12.75">
      <c r="A43" s="115" t="s">
        <v>170</v>
      </c>
      <c r="B43" s="118"/>
      <c r="C43" s="114"/>
    </row>
    <row r="44" spans="1:3" ht="13.5">
      <c r="A44" s="116" t="s">
        <v>66</v>
      </c>
      <c r="B44" s="112"/>
      <c r="C44" s="117">
        <f>C45+C46+C47</f>
        <v>0</v>
      </c>
    </row>
    <row r="45" spans="1:3" ht="12.75">
      <c r="A45" s="112" t="s">
        <v>167</v>
      </c>
      <c r="B45" s="118" t="s">
        <v>181</v>
      </c>
      <c r="C45" s="114"/>
    </row>
    <row r="46" spans="1:3" ht="12.75">
      <c r="A46" s="115" t="s">
        <v>168</v>
      </c>
      <c r="B46" s="118" t="s">
        <v>182</v>
      </c>
      <c r="C46" s="114"/>
    </row>
    <row r="47" spans="1:3" ht="12.75">
      <c r="A47" s="115" t="s">
        <v>173</v>
      </c>
      <c r="B47" s="118" t="s">
        <v>181</v>
      </c>
      <c r="C47" s="114"/>
    </row>
    <row r="48" spans="1:3" ht="13.5">
      <c r="A48" s="116" t="s">
        <v>67</v>
      </c>
      <c r="B48" s="116"/>
      <c r="C48" s="117">
        <f>C49+C50+C51</f>
        <v>0</v>
      </c>
    </row>
    <row r="49" spans="1:3" ht="12.75">
      <c r="A49" s="112" t="s">
        <v>167</v>
      </c>
      <c r="B49" s="118" t="s">
        <v>182</v>
      </c>
      <c r="C49" s="114"/>
    </row>
    <row r="50" spans="1:3" ht="12.75">
      <c r="A50" s="115" t="s">
        <v>168</v>
      </c>
      <c r="B50" s="118" t="s">
        <v>183</v>
      </c>
      <c r="C50" s="114"/>
    </row>
    <row r="51" spans="1:3" ht="12.75">
      <c r="A51" s="115" t="s">
        <v>173</v>
      </c>
      <c r="B51" s="113" t="s">
        <v>182</v>
      </c>
      <c r="C51" s="114"/>
    </row>
    <row r="52" spans="1:3" ht="13.5">
      <c r="A52" s="116" t="s">
        <v>68</v>
      </c>
      <c r="B52" s="113"/>
      <c r="C52" s="117">
        <f>C53+C54+C55+C56</f>
        <v>0</v>
      </c>
    </row>
    <row r="53" spans="1:3" ht="12.75">
      <c r="A53" s="112" t="s">
        <v>167</v>
      </c>
      <c r="B53" s="118" t="s">
        <v>183</v>
      </c>
      <c r="C53" s="114"/>
    </row>
    <row r="54" spans="1:3" ht="12.75">
      <c r="A54" s="115" t="s">
        <v>168</v>
      </c>
      <c r="B54" s="118" t="s">
        <v>184</v>
      </c>
      <c r="C54" s="114"/>
    </row>
    <row r="55" spans="1:3" ht="12.75">
      <c r="A55" s="115" t="s">
        <v>169</v>
      </c>
      <c r="B55" s="113"/>
      <c r="C55" s="114"/>
    </row>
    <row r="56" spans="1:3" ht="12.75">
      <c r="A56" s="115" t="s">
        <v>173</v>
      </c>
      <c r="B56" s="113"/>
      <c r="C56" s="114"/>
    </row>
    <row r="57" spans="1:3" ht="13.5">
      <c r="A57" s="116" t="s">
        <v>69</v>
      </c>
      <c r="B57" s="113"/>
      <c r="C57" s="117">
        <f>C58+C59+C60+C61</f>
        <v>0</v>
      </c>
    </row>
    <row r="58" spans="1:3" ht="12.75">
      <c r="A58" s="112" t="s">
        <v>167</v>
      </c>
      <c r="B58" s="118" t="s">
        <v>184</v>
      </c>
      <c r="C58" s="114"/>
    </row>
    <row r="59" spans="1:3" ht="12.75">
      <c r="A59" s="115" t="s">
        <v>168</v>
      </c>
      <c r="B59" s="118" t="s">
        <v>185</v>
      </c>
      <c r="C59" s="114"/>
    </row>
    <row r="60" spans="1:3" ht="12.75">
      <c r="A60" s="115" t="s">
        <v>169</v>
      </c>
      <c r="B60" s="113" t="s">
        <v>184</v>
      </c>
      <c r="C60" s="114"/>
    </row>
    <row r="61" spans="1:3" ht="12.75">
      <c r="A61" s="115" t="s">
        <v>173</v>
      </c>
      <c r="B61" s="113" t="s">
        <v>184</v>
      </c>
      <c r="C61" s="114"/>
    </row>
    <row r="62" spans="1:3" ht="13.5">
      <c r="A62" s="116" t="s">
        <v>70</v>
      </c>
      <c r="B62" s="113"/>
      <c r="C62" s="117">
        <f>C63+C64+C65+C66</f>
        <v>0</v>
      </c>
    </row>
    <row r="63" spans="1:3" ht="12.75">
      <c r="A63" s="112" t="s">
        <v>167</v>
      </c>
      <c r="B63" s="118" t="s">
        <v>185</v>
      </c>
      <c r="C63" s="114"/>
    </row>
    <row r="64" spans="1:3" ht="12.75">
      <c r="A64" s="115" t="s">
        <v>168</v>
      </c>
      <c r="B64" s="118" t="s">
        <v>186</v>
      </c>
      <c r="C64" s="114"/>
    </row>
    <row r="65" spans="1:3" ht="12.75">
      <c r="A65" s="115" t="s">
        <v>169</v>
      </c>
      <c r="B65" s="118" t="s">
        <v>185</v>
      </c>
      <c r="C65" s="114"/>
    </row>
    <row r="66" spans="1:3" ht="12.75">
      <c r="A66" s="115" t="s">
        <v>173</v>
      </c>
      <c r="B66" s="118" t="s">
        <v>185</v>
      </c>
      <c r="C66" s="114"/>
    </row>
    <row r="67" spans="1:3" ht="13.5">
      <c r="A67" s="116" t="s">
        <v>71</v>
      </c>
      <c r="B67" s="113"/>
      <c r="C67" s="117">
        <f>C68+C69+C70</f>
        <v>0</v>
      </c>
    </row>
    <row r="68" spans="1:3" ht="12.75">
      <c r="A68" s="112" t="s">
        <v>167</v>
      </c>
      <c r="B68" s="118" t="s">
        <v>186</v>
      </c>
      <c r="C68" s="114"/>
    </row>
    <row r="69" spans="1:3" ht="12.75">
      <c r="A69" s="115" t="s">
        <v>168</v>
      </c>
      <c r="B69" s="118" t="s">
        <v>187</v>
      </c>
      <c r="C69" s="95"/>
    </row>
    <row r="70" spans="1:3" ht="12.75">
      <c r="A70" s="115" t="s">
        <v>169</v>
      </c>
      <c r="B70" s="113" t="s">
        <v>186</v>
      </c>
      <c r="C70" s="114"/>
    </row>
    <row r="71" spans="1:3" ht="13.5">
      <c r="A71" s="116" t="s">
        <v>72</v>
      </c>
      <c r="B71" s="113"/>
      <c r="C71" s="117">
        <f>C72+C73+C75+C74</f>
        <v>0</v>
      </c>
    </row>
    <row r="72" spans="1:3" ht="12.75">
      <c r="A72" s="112" t="s">
        <v>167</v>
      </c>
      <c r="B72" s="118" t="s">
        <v>187</v>
      </c>
      <c r="C72" s="95"/>
    </row>
    <row r="73" spans="1:3" ht="12.75">
      <c r="A73" s="115" t="s">
        <v>168</v>
      </c>
      <c r="B73" s="118" t="s">
        <v>187</v>
      </c>
      <c r="C73" s="95"/>
    </row>
    <row r="74" spans="1:3" ht="12.75">
      <c r="A74" s="115" t="s">
        <v>173</v>
      </c>
      <c r="B74" s="118" t="s">
        <v>187</v>
      </c>
      <c r="C74" s="95"/>
    </row>
    <row r="75" spans="1:3" ht="12.75">
      <c r="A75" s="115" t="s">
        <v>169</v>
      </c>
      <c r="B75" s="113" t="s">
        <v>187</v>
      </c>
      <c r="C75" s="95"/>
    </row>
    <row r="76" spans="1:4" ht="12.75">
      <c r="A76" s="119" t="s">
        <v>177</v>
      </c>
      <c r="B76" s="120"/>
      <c r="C76" s="121">
        <f>C71+C67+C62+C57+C52+C48+C44+C40+C35+C31+C27+C23</f>
        <v>9572920.77</v>
      </c>
      <c r="D76" s="69">
        <f>C76-N13</f>
        <v>0</v>
      </c>
    </row>
    <row r="77" spans="1:3" ht="12.75">
      <c r="A77" s="109"/>
      <c r="B77" s="109"/>
      <c r="C77" s="122"/>
    </row>
    <row r="78" spans="1:3" ht="12.75">
      <c r="A78" s="109"/>
      <c r="B78" s="109"/>
      <c r="C78" s="109"/>
    </row>
  </sheetData>
  <sheetProtection/>
  <mergeCells count="4">
    <mergeCell ref="F2:H2"/>
    <mergeCell ref="B5:M5"/>
    <mergeCell ref="F10:J10"/>
    <mergeCell ref="A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plan3</cp:lastModifiedBy>
  <cp:lastPrinted>2020-02-14T06:34:59Z</cp:lastPrinted>
  <dcterms:created xsi:type="dcterms:W3CDTF">2014-01-17T10:52:16Z</dcterms:created>
  <dcterms:modified xsi:type="dcterms:W3CDTF">2020-05-05T07:45:10Z</dcterms:modified>
  <cp:category/>
  <cp:version/>
  <cp:contentType/>
  <cp:contentStatus/>
</cp:coreProperties>
</file>